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Majandus\Sademevesi\Kava avalikustamine ja kehtestamine\Dokumendid määruse juurde\"/>
    </mc:Choice>
  </mc:AlternateContent>
  <xr:revisionPtr revIDLastSave="0" documentId="8_{6E7CF5AA-E1CD-4A3B-90E3-D5B5C02AD319}" xr6:coauthVersionLast="47" xr6:coauthVersionMax="47" xr10:uidLastSave="{00000000-0000-0000-0000-000000000000}"/>
  <bookViews>
    <workbookView xWindow="-110" yWindow="-110" windowWidth="19420" windowHeight="10420" activeTab="1" xr2:uid="{3E07898B-2D30-407F-AA69-1B7C83B2F695}"/>
  </bookViews>
  <sheets>
    <sheet name="Ühikhinnad" sheetId="1" r:id="rId1"/>
    <sheet name="Koondtabel" sheetId="4" r:id="rId2"/>
    <sheet name="Investeeringu projektid" sheetId="2" r:id="rId3"/>
    <sheet name="Koond (1)" sheetId="3" r:id="rId4"/>
  </sheets>
  <definedNames>
    <definedName name="_xlnm._FilterDatabase" localSheetId="2" hidden="1">'Investeeringu projektid'!$A$3:$P$3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C17" i="3"/>
  <c r="C16" i="3"/>
  <c r="D10" i="3"/>
  <c r="E17" i="3"/>
  <c r="F17" i="3"/>
  <c r="F16" i="3"/>
  <c r="F10" i="3"/>
  <c r="G17" i="3"/>
  <c r="G16" i="3"/>
  <c r="G10" i="3"/>
  <c r="H17" i="3"/>
  <c r="H16" i="3"/>
  <c r="H10" i="3"/>
  <c r="I17" i="3"/>
  <c r="I16" i="3"/>
  <c r="I10" i="3"/>
  <c r="J17" i="3"/>
  <c r="J16" i="3"/>
  <c r="J10" i="3"/>
  <c r="K17" i="3"/>
  <c r="K16" i="3"/>
  <c r="K11" i="3"/>
  <c r="K10" i="3"/>
  <c r="L17" i="3"/>
  <c r="L16" i="3"/>
  <c r="L10" i="3"/>
  <c r="M16" i="3"/>
  <c r="M11" i="3"/>
  <c r="M10" i="3"/>
  <c r="N16" i="3"/>
  <c r="N11" i="3"/>
  <c r="N10" i="3"/>
  <c r="O17" i="3"/>
  <c r="O16" i="3"/>
  <c r="O11" i="3"/>
  <c r="O10" i="3"/>
  <c r="P16" i="3"/>
  <c r="P11" i="3"/>
  <c r="P10" i="3"/>
  <c r="Q16" i="3"/>
  <c r="Q11" i="3"/>
  <c r="Q10" i="3"/>
  <c r="R16" i="3"/>
  <c r="R11" i="3"/>
  <c r="R10" i="3"/>
  <c r="S16" i="3"/>
  <c r="S11" i="3"/>
  <c r="S10" i="3"/>
  <c r="T16" i="3"/>
  <c r="T11" i="3"/>
  <c r="T10" i="3"/>
  <c r="U16" i="3"/>
  <c r="U11" i="3"/>
  <c r="U10" i="3"/>
  <c r="V17" i="3"/>
  <c r="V16" i="3"/>
  <c r="V10" i="3"/>
  <c r="V11" i="3"/>
  <c r="U5" i="3"/>
  <c r="U4" i="3"/>
  <c r="T5" i="3"/>
  <c r="T4" i="3"/>
  <c r="S5" i="3"/>
  <c r="S4" i="3"/>
  <c r="R5" i="3"/>
  <c r="R4" i="3"/>
  <c r="Q4" i="3"/>
  <c r="P5" i="3"/>
  <c r="P4" i="3"/>
  <c r="O4" i="3"/>
  <c r="N5" i="3"/>
  <c r="N4" i="3"/>
  <c r="M5" i="3"/>
  <c r="M4" i="3"/>
  <c r="K5" i="3"/>
  <c r="J5" i="3"/>
  <c r="J4" i="3"/>
  <c r="I4" i="3"/>
  <c r="H5" i="3"/>
  <c r="H4" i="3"/>
  <c r="G5" i="3"/>
  <c r="G4" i="3"/>
  <c r="F4" i="3"/>
  <c r="D4" i="3"/>
  <c r="C5" i="3"/>
  <c r="J79" i="2"/>
  <c r="L79" i="2" s="1"/>
  <c r="I79" i="2"/>
  <c r="G25" i="2"/>
  <c r="H6" i="4"/>
  <c r="H7" i="4"/>
  <c r="H8" i="4"/>
  <c r="H9" i="4"/>
  <c r="H10" i="4"/>
  <c r="H11" i="4"/>
  <c r="H12" i="4"/>
  <c r="H13" i="4"/>
  <c r="H16" i="4"/>
  <c r="H23" i="4"/>
  <c r="H4" i="4"/>
  <c r="G8" i="4"/>
  <c r="G9" i="4"/>
  <c r="G10" i="4"/>
  <c r="G11" i="4"/>
  <c r="G12" i="4"/>
  <c r="G13" i="4"/>
  <c r="G14" i="4"/>
  <c r="G15" i="4"/>
  <c r="G16" i="4"/>
  <c r="G17" i="4"/>
  <c r="G18" i="4"/>
  <c r="G19" i="4"/>
  <c r="G20" i="4"/>
  <c r="G21" i="4"/>
  <c r="G22" i="4"/>
  <c r="G23" i="4"/>
  <c r="G7" i="4"/>
  <c r="G4" i="4"/>
  <c r="F15" i="4"/>
  <c r="F16" i="4"/>
  <c r="F17" i="4"/>
  <c r="F18" i="4"/>
  <c r="F19" i="4"/>
  <c r="F20" i="4"/>
  <c r="F21" i="4"/>
  <c r="F22" i="4"/>
  <c r="F23" i="4"/>
  <c r="F14" i="4"/>
  <c r="F12" i="4"/>
  <c r="E23" i="4"/>
  <c r="E22" i="4"/>
  <c r="E21" i="4"/>
  <c r="E20" i="4"/>
  <c r="E19" i="4"/>
  <c r="E18" i="4"/>
  <c r="E17" i="4"/>
  <c r="E16" i="4"/>
  <c r="E15" i="4"/>
  <c r="E14" i="4"/>
  <c r="E13" i="4"/>
  <c r="E12" i="4"/>
  <c r="E11" i="4"/>
  <c r="E10" i="4"/>
  <c r="E9" i="4"/>
  <c r="E8" i="4"/>
  <c r="E7" i="4"/>
  <c r="E5" i="4"/>
  <c r="D22" i="4"/>
  <c r="D21" i="4"/>
  <c r="D20" i="4"/>
  <c r="D19" i="4"/>
  <c r="D17" i="4"/>
  <c r="D15" i="4"/>
  <c r="D14" i="4"/>
  <c r="D12" i="4"/>
  <c r="D11" i="4"/>
  <c r="D9" i="4"/>
  <c r="D8" i="4"/>
  <c r="D4" i="4"/>
  <c r="C22" i="4"/>
  <c r="C21" i="4"/>
  <c r="C20" i="4"/>
  <c r="C19" i="4"/>
  <c r="C18" i="4"/>
  <c r="C17" i="4"/>
  <c r="C16" i="4"/>
  <c r="C15" i="4"/>
  <c r="C14" i="4"/>
  <c r="C11" i="4"/>
  <c r="C10" i="4"/>
  <c r="C9" i="4"/>
  <c r="C8" i="4"/>
  <c r="C7" i="4"/>
  <c r="C5" i="4"/>
  <c r="L83" i="2"/>
  <c r="K83" i="2"/>
  <c r="G55" i="2"/>
  <c r="I28" i="2"/>
  <c r="J28" i="2" s="1"/>
  <c r="K79" i="2" l="1"/>
  <c r="M79" i="2" s="1"/>
  <c r="M83" i="2"/>
  <c r="K28" i="2"/>
  <c r="L28" i="2"/>
  <c r="I14" i="2"/>
  <c r="J14" i="2" s="1"/>
  <c r="I9" i="2"/>
  <c r="J9" i="2" s="1"/>
  <c r="M28" i="2" l="1"/>
  <c r="K9" i="2"/>
  <c r="L9" i="2"/>
  <c r="K14" i="2"/>
  <c r="L14" i="2"/>
  <c r="M14" i="2" l="1"/>
  <c r="M9" i="2"/>
  <c r="G22" i="2" l="1"/>
  <c r="I49" i="2" l="1"/>
  <c r="J49" i="2" s="1"/>
  <c r="B16" i="1"/>
  <c r="B15" i="1"/>
  <c r="K49" i="2" l="1"/>
  <c r="L49" i="2"/>
  <c r="B12" i="1"/>
  <c r="B13" i="1"/>
  <c r="M49" i="2" l="1"/>
  <c r="B14" i="1"/>
  <c r="I87" i="2" s="1"/>
  <c r="I25" i="2"/>
  <c r="J25" i="2" s="1"/>
  <c r="I23" i="2"/>
  <c r="J23" i="2" s="1"/>
  <c r="I22" i="2"/>
  <c r="I60" i="2"/>
  <c r="I17" i="2"/>
  <c r="I19" i="2"/>
  <c r="J19" i="2" s="1"/>
  <c r="I52" i="2"/>
  <c r="G52" i="2"/>
  <c r="I54" i="2"/>
  <c r="I57" i="2"/>
  <c r="I70" i="2"/>
  <c r="I45" i="2"/>
  <c r="I36" i="2"/>
  <c r="I31" i="2"/>
  <c r="J31" i="2" s="1"/>
  <c r="G30" i="2"/>
  <c r="I32" i="2"/>
  <c r="I8" i="2"/>
  <c r="I11" i="2"/>
  <c r="I10" i="2"/>
  <c r="I88" i="2"/>
  <c r="I93" i="2"/>
  <c r="I85" i="2"/>
  <c r="I84" i="2"/>
  <c r="I92" i="2"/>
  <c r="I91" i="2"/>
  <c r="I76" i="2"/>
  <c r="I80" i="2"/>
  <c r="I94" i="2"/>
  <c r="I65" i="2"/>
  <c r="I71" i="2"/>
  <c r="I72" i="2"/>
  <c r="I67" i="2"/>
  <c r="I39" i="2"/>
  <c r="I12" i="2"/>
  <c r="I90" i="2"/>
  <c r="I89" i="2"/>
  <c r="I4" i="2"/>
  <c r="I5" i="2"/>
  <c r="I13" i="2"/>
  <c r="J13" i="2" s="1"/>
  <c r="L19" i="2" l="1"/>
  <c r="K19" i="2"/>
  <c r="L23" i="2"/>
  <c r="K23" i="2"/>
  <c r="K31" i="2"/>
  <c r="L31" i="2"/>
  <c r="K25" i="2"/>
  <c r="L25" i="2"/>
  <c r="L13" i="2"/>
  <c r="K13" i="2"/>
  <c r="J22" i="2"/>
  <c r="J12" i="2"/>
  <c r="I21" i="2"/>
  <c r="J21" i="2" s="1"/>
  <c r="M21" i="2" s="1"/>
  <c r="I26" i="2"/>
  <c r="J26" i="2" s="1"/>
  <c r="J39" i="2"/>
  <c r="M39" i="2" s="1"/>
  <c r="I46" i="2"/>
  <c r="J46" i="2" s="1"/>
  <c r="I38" i="2"/>
  <c r="J38" i="2" s="1"/>
  <c r="M38" i="2" s="1"/>
  <c r="I58" i="2"/>
  <c r="J58" i="2" s="1"/>
  <c r="M58" i="2" s="1"/>
  <c r="I62" i="2"/>
  <c r="J62" i="2" s="1"/>
  <c r="M62" i="2" s="1"/>
  <c r="J65" i="2"/>
  <c r="J71" i="2"/>
  <c r="M71" i="2" s="1"/>
  <c r="I75" i="2"/>
  <c r="I77" i="2"/>
  <c r="J77" i="2" s="1"/>
  <c r="I74" i="2"/>
  <c r="J74" i="2" s="1"/>
  <c r="I78" i="2"/>
  <c r="J78" i="2" s="1"/>
  <c r="J80" i="2"/>
  <c r="I81" i="2"/>
  <c r="J81" i="2" s="1"/>
  <c r="J90" i="2"/>
  <c r="M90" i="2" s="1"/>
  <c r="I95" i="2"/>
  <c r="J95" i="2" s="1"/>
  <c r="M95" i="2" s="1"/>
  <c r="J94" i="2"/>
  <c r="M94" i="2" s="1"/>
  <c r="M13" i="2" l="1"/>
  <c r="H14" i="4"/>
  <c r="M17" i="3"/>
  <c r="H20" i="4"/>
  <c r="S17" i="3"/>
  <c r="M23" i="2"/>
  <c r="H19" i="4"/>
  <c r="R17" i="3"/>
  <c r="H22" i="4"/>
  <c r="U17" i="3"/>
  <c r="M19" i="2"/>
  <c r="M31" i="2"/>
  <c r="M25" i="2"/>
  <c r="K74" i="2"/>
  <c r="L74" i="2"/>
  <c r="K77" i="2"/>
  <c r="L77" i="2"/>
  <c r="L78" i="2"/>
  <c r="K78" i="2"/>
  <c r="L65" i="2"/>
  <c r="K65" i="2"/>
  <c r="L81" i="2"/>
  <c r="K81" i="2"/>
  <c r="L26" i="2"/>
  <c r="K26" i="2"/>
  <c r="K12" i="2"/>
  <c r="L12" i="2"/>
  <c r="M22" i="2"/>
  <c r="M46" i="2"/>
  <c r="M80" i="2"/>
  <c r="J87" i="2"/>
  <c r="M87" i="2" s="1"/>
  <c r="J4" i="2"/>
  <c r="M4" i="2" s="1"/>
  <c r="I24" i="2"/>
  <c r="J24" i="2" s="1"/>
  <c r="J70" i="2"/>
  <c r="M70" i="2" s="1"/>
  <c r="I68" i="2"/>
  <c r="J68" i="2" s="1"/>
  <c r="M68" i="2" s="1"/>
  <c r="J67" i="2"/>
  <c r="M67" i="2" s="1"/>
  <c r="G66" i="2"/>
  <c r="J5" i="2"/>
  <c r="M5" i="2" s="1"/>
  <c r="G60" i="2"/>
  <c r="J54" i="2"/>
  <c r="I20" i="2"/>
  <c r="J20" i="2" s="1"/>
  <c r="I61" i="2"/>
  <c r="G61" i="2"/>
  <c r="I59" i="2"/>
  <c r="J59" i="2" s="1"/>
  <c r="J17" i="2"/>
  <c r="I18" i="2"/>
  <c r="J18" i="2" s="1"/>
  <c r="I15" i="2"/>
  <c r="J15" i="2" s="1"/>
  <c r="I16" i="2"/>
  <c r="J16" i="2" s="1"/>
  <c r="J76" i="2"/>
  <c r="J75" i="2"/>
  <c r="M75" i="2" s="1"/>
  <c r="J52" i="2"/>
  <c r="M52" i="2" s="1"/>
  <c r="I48" i="2"/>
  <c r="J48" i="2" s="1"/>
  <c r="M48" i="2" s="1"/>
  <c r="I47" i="2"/>
  <c r="J47" i="2" s="1"/>
  <c r="M47" i="2" s="1"/>
  <c r="I53" i="2"/>
  <c r="J53" i="2" s="1"/>
  <c r="I51" i="2"/>
  <c r="J51" i="2" s="1"/>
  <c r="I50" i="2"/>
  <c r="J50" i="2" s="1"/>
  <c r="I63" i="2"/>
  <c r="J63" i="2" s="1"/>
  <c r="I64" i="2"/>
  <c r="J64" i="2" s="1"/>
  <c r="I56" i="2"/>
  <c r="J56" i="2" s="1"/>
  <c r="M56" i="2" s="1"/>
  <c r="I55" i="2"/>
  <c r="J55" i="2" s="1"/>
  <c r="J72" i="2"/>
  <c r="I73" i="2"/>
  <c r="J73" i="2" s="1"/>
  <c r="I69" i="2"/>
  <c r="J69" i="2" s="1"/>
  <c r="M69" i="2" s="1"/>
  <c r="J57" i="2"/>
  <c r="I66" i="2"/>
  <c r="I35" i="2"/>
  <c r="J35" i="2" s="1"/>
  <c r="I34" i="2"/>
  <c r="J34" i="2" s="1"/>
  <c r="I33" i="2"/>
  <c r="J33" i="2" s="1"/>
  <c r="G45" i="2"/>
  <c r="I37" i="2"/>
  <c r="J37" i="2" s="1"/>
  <c r="I44" i="2"/>
  <c r="J44" i="2" s="1"/>
  <c r="I43" i="2"/>
  <c r="G43" i="2"/>
  <c r="I42" i="2"/>
  <c r="J42" i="2" s="1"/>
  <c r="I41" i="2"/>
  <c r="J41" i="2" s="1"/>
  <c r="I40" i="2"/>
  <c r="J40" i="2" s="1"/>
  <c r="J36" i="2"/>
  <c r="I29" i="2"/>
  <c r="J29" i="2" s="1"/>
  <c r="G32" i="2"/>
  <c r="I30" i="2"/>
  <c r="J30" i="2" s="1"/>
  <c r="I27" i="2"/>
  <c r="J27" i="2" s="1"/>
  <c r="M27" i="2" s="1"/>
  <c r="I7" i="2"/>
  <c r="J7" i="2" s="1"/>
  <c r="I6" i="2"/>
  <c r="J6" i="2" s="1"/>
  <c r="L6" i="2" s="1"/>
  <c r="J8" i="2"/>
  <c r="G10" i="2"/>
  <c r="J11" i="2"/>
  <c r="J89" i="2"/>
  <c r="M89" i="2" s="1"/>
  <c r="J88" i="2"/>
  <c r="J93" i="2"/>
  <c r="I86" i="2"/>
  <c r="J86" i="2" s="1"/>
  <c r="M86" i="2" s="1"/>
  <c r="J85" i="2"/>
  <c r="G84" i="2"/>
  <c r="J92" i="2"/>
  <c r="J91" i="2"/>
  <c r="M81" i="2" l="1"/>
  <c r="M26" i="2"/>
  <c r="C6" i="4"/>
  <c r="E4" i="3"/>
  <c r="D23" i="4"/>
  <c r="V5" i="3"/>
  <c r="H15" i="4"/>
  <c r="N17" i="3"/>
  <c r="G6" i="4"/>
  <c r="E16" i="3"/>
  <c r="G5" i="4"/>
  <c r="D16" i="3"/>
  <c r="D16" i="4"/>
  <c r="O5" i="3"/>
  <c r="M78" i="2"/>
  <c r="M65" i="2"/>
  <c r="M77" i="2"/>
  <c r="Q17" i="3" s="1"/>
  <c r="M74" i="2"/>
  <c r="K85" i="2"/>
  <c r="L85" i="2"/>
  <c r="L34" i="2"/>
  <c r="K34" i="2"/>
  <c r="K51" i="2"/>
  <c r="L51" i="2"/>
  <c r="H18" i="4"/>
  <c r="L72" i="2"/>
  <c r="K72" i="2"/>
  <c r="K55" i="2"/>
  <c r="L55" i="2"/>
  <c r="K44" i="2"/>
  <c r="L44" i="2"/>
  <c r="M44" i="2" s="1"/>
  <c r="L29" i="2"/>
  <c r="K29" i="2"/>
  <c r="L35" i="2"/>
  <c r="K35" i="2"/>
  <c r="K53" i="2"/>
  <c r="L53" i="2"/>
  <c r="L93" i="2"/>
  <c r="K93" i="2"/>
  <c r="K36" i="2"/>
  <c r="L36" i="2"/>
  <c r="K20" i="2"/>
  <c r="L20" i="2"/>
  <c r="L88" i="2"/>
  <c r="K88" i="2"/>
  <c r="L40" i="2"/>
  <c r="K40" i="2"/>
  <c r="L57" i="2"/>
  <c r="K57" i="2"/>
  <c r="M57" i="2" s="1"/>
  <c r="L54" i="2"/>
  <c r="K54" i="2"/>
  <c r="K63" i="2"/>
  <c r="L63" i="2"/>
  <c r="K30" i="2"/>
  <c r="L30" i="2"/>
  <c r="L33" i="2"/>
  <c r="K33" i="2"/>
  <c r="K50" i="2"/>
  <c r="L50" i="2"/>
  <c r="L59" i="2"/>
  <c r="K59" i="2"/>
  <c r="L41" i="2"/>
  <c r="K41" i="2"/>
  <c r="L42" i="2"/>
  <c r="K42" i="2"/>
  <c r="M42" i="2" s="1"/>
  <c r="L73" i="2"/>
  <c r="K73" i="2"/>
  <c r="L91" i="2"/>
  <c r="K91" i="2"/>
  <c r="K37" i="2"/>
  <c r="L37" i="2"/>
  <c r="K64" i="2"/>
  <c r="L64" i="2"/>
  <c r="L18" i="2"/>
  <c r="K18" i="2"/>
  <c r="L92" i="2"/>
  <c r="K92" i="2"/>
  <c r="M12" i="2"/>
  <c r="K6" i="2"/>
  <c r="M6" i="2" s="1"/>
  <c r="K15" i="2"/>
  <c r="L15" i="2"/>
  <c r="K7" i="2"/>
  <c r="L7" i="2"/>
  <c r="M63" i="2"/>
  <c r="K17" i="2"/>
  <c r="L17" i="2"/>
  <c r="M24" i="2"/>
  <c r="K11" i="2"/>
  <c r="L11" i="2"/>
  <c r="M76" i="2"/>
  <c r="D18" i="4" s="1"/>
  <c r="K8" i="2"/>
  <c r="L8" i="2"/>
  <c r="K16" i="2"/>
  <c r="L16" i="2"/>
  <c r="J61" i="2"/>
  <c r="J10" i="2"/>
  <c r="J60" i="2"/>
  <c r="J66" i="2"/>
  <c r="J43" i="2"/>
  <c r="J45" i="2"/>
  <c r="J32" i="2"/>
  <c r="J84" i="2"/>
  <c r="M17" i="2" l="1"/>
  <c r="M20" i="2"/>
  <c r="Q5" i="3"/>
  <c r="M91" i="2"/>
  <c r="M33" i="2"/>
  <c r="M29" i="2"/>
  <c r="E10" i="3" s="1"/>
  <c r="M34" i="2"/>
  <c r="E6" i="4"/>
  <c r="M11" i="2"/>
  <c r="C12" i="4"/>
  <c r="K4" i="3"/>
  <c r="H5" i="4"/>
  <c r="D17" i="3"/>
  <c r="C23" i="4"/>
  <c r="V4" i="3"/>
  <c r="H17" i="4"/>
  <c r="P17" i="3"/>
  <c r="H21" i="4"/>
  <c r="T17" i="3"/>
  <c r="M64" i="2"/>
  <c r="H11" i="3" s="1"/>
  <c r="M73" i="2"/>
  <c r="M30" i="2"/>
  <c r="M85" i="2"/>
  <c r="M36" i="2"/>
  <c r="M55" i="2"/>
  <c r="G11" i="3" s="1"/>
  <c r="M54" i="2"/>
  <c r="M37" i="2"/>
  <c r="M50" i="2"/>
  <c r="L11" i="3" s="1"/>
  <c r="M53" i="2"/>
  <c r="M51" i="2"/>
  <c r="M40" i="2"/>
  <c r="M88" i="2"/>
  <c r="M18" i="2"/>
  <c r="M41" i="2"/>
  <c r="M72" i="2"/>
  <c r="F7" i="4" s="1"/>
  <c r="M59" i="2"/>
  <c r="M92" i="2"/>
  <c r="M35" i="2"/>
  <c r="F9" i="4"/>
  <c r="M16" i="2"/>
  <c r="M93" i="2"/>
  <c r="F4" i="4" s="1"/>
  <c r="K45" i="2"/>
  <c r="L45" i="2"/>
  <c r="K43" i="2"/>
  <c r="L43" i="2"/>
  <c r="L60" i="2"/>
  <c r="K60" i="2"/>
  <c r="L61" i="2"/>
  <c r="K61" i="2"/>
  <c r="D6" i="4"/>
  <c r="M15" i="2"/>
  <c r="K84" i="2"/>
  <c r="L84" i="2"/>
  <c r="L66" i="2"/>
  <c r="K66" i="2"/>
  <c r="L32" i="2"/>
  <c r="K32" i="2"/>
  <c r="M7" i="2"/>
  <c r="M8" i="2"/>
  <c r="K10" i="2"/>
  <c r="L10" i="2"/>
  <c r="J82" i="2"/>
  <c r="W16" i="3"/>
  <c r="G24" i="4"/>
  <c r="E5" i="3" l="1"/>
  <c r="F8" i="4"/>
  <c r="M32" i="2"/>
  <c r="M43" i="2"/>
  <c r="F6" i="4"/>
  <c r="M66" i="2"/>
  <c r="M45" i="2"/>
  <c r="H24" i="4"/>
  <c r="W17" i="3"/>
  <c r="D11" i="3"/>
  <c r="C13" i="4"/>
  <c r="L4" i="3"/>
  <c r="C11" i="3"/>
  <c r="E11" i="3"/>
  <c r="D7" i="4"/>
  <c r="F5" i="3"/>
  <c r="F11" i="3"/>
  <c r="M84" i="2"/>
  <c r="F13" i="4"/>
  <c r="D13" i="4"/>
  <c r="L5" i="3"/>
  <c r="F10" i="4"/>
  <c r="I11" i="3"/>
  <c r="D10" i="4"/>
  <c r="I5" i="3"/>
  <c r="M61" i="2"/>
  <c r="F5" i="4"/>
  <c r="M60" i="2"/>
  <c r="L82" i="2"/>
  <c r="K82" i="2"/>
  <c r="M10" i="2"/>
  <c r="F11" i="4" l="1"/>
  <c r="F24" i="4" s="1"/>
  <c r="E4" i="4"/>
  <c r="E24" i="4" s="1"/>
  <c r="C10" i="3"/>
  <c r="W10" i="3" s="1"/>
  <c r="D5" i="4"/>
  <c r="D24" i="4" s="1"/>
  <c r="D5" i="3"/>
  <c r="W5" i="3" s="1"/>
  <c r="J11" i="3"/>
  <c r="W11" i="3" s="1"/>
  <c r="M82" i="2"/>
  <c r="C4" i="4" l="1"/>
  <c r="C24" i="4" s="1"/>
  <c r="C4" i="3"/>
  <c r="W4" i="3" s="1"/>
</calcChain>
</file>

<file path=xl/sharedStrings.xml><?xml version="1.0" encoding="utf-8"?>
<sst xmlns="http://schemas.openxmlformats.org/spreadsheetml/2006/main" count="996" uniqueCount="267">
  <si>
    <t>Ühikhinnad investeeringu maksumuste arvestamisel</t>
  </si>
  <si>
    <t>Nimetus</t>
  </si>
  <si>
    <t>Ühikhind (€)</t>
  </si>
  <si>
    <t>Ühik</t>
  </si>
  <si>
    <t>jm</t>
  </si>
  <si>
    <t>kmpl</t>
  </si>
  <si>
    <t>Kraavi puhastamine settest ja rohust</t>
  </si>
  <si>
    <t>Kraavi puhastamine suuremast võsast/puudest, kraavi taastamine</t>
  </si>
  <si>
    <t>Kraavi rajamine</t>
  </si>
  <si>
    <t>Luunja valla sademeveekava investeeringu projektid</t>
  </si>
  <si>
    <t>Asula</t>
  </si>
  <si>
    <t>Investeeringu liik</t>
  </si>
  <si>
    <t>Investeeringu periood</t>
  </si>
  <si>
    <t>Investeeringu nimetus</t>
  </si>
  <si>
    <t>Kogus</t>
  </si>
  <si>
    <t>Maksumus (€)</t>
  </si>
  <si>
    <t>Märkused</t>
  </si>
  <si>
    <t>Veibri küla</t>
  </si>
  <si>
    <t>Torustiku rajamine</t>
  </si>
  <si>
    <t>Lühiajaline</t>
  </si>
  <si>
    <t>Investeeringu aasta</t>
  </si>
  <si>
    <t>Vald</t>
  </si>
  <si>
    <t>Investeeringu rahastaja/teostaja</t>
  </si>
  <si>
    <t>Nõva rajamine</t>
  </si>
  <si>
    <t>Kaare tee piirkonna nõvade rajamine ja taastamine</t>
  </si>
  <si>
    <t>Kesakanni tee L4 (Kesakanni tee 82 piirkond) sademevee torustiku rajamine</t>
  </si>
  <si>
    <t>Kaare tee piirkonna sademevee torustiku rajamine</t>
  </si>
  <si>
    <t>Jaanilille põik sademevee torustiku rajamine</t>
  </si>
  <si>
    <t>Uue kraavi ühenduse /eesvoolu rajamine Käokinga ja Nurmenuku piirkonna kõrvale, Metsa kinnistu piirile</t>
  </si>
  <si>
    <t>Vahtramäe tee sademevee eesvooluks oleva kraavi korrastamine</t>
  </si>
  <si>
    <t>Nurme tee sademevee eesvooluks oleva kraavi korrastamine (sh suuremast võsast puhastamine ja kraavi taastamine)</t>
  </si>
  <si>
    <t xml:space="preserve">Nurme tee 8 a sademevee torustiku rajamine ja olemasolevaga ühendamine </t>
  </si>
  <si>
    <t>Truubi puhastamine</t>
  </si>
  <si>
    <t>Kabina küla</t>
  </si>
  <si>
    <t>Valgala kood</t>
  </si>
  <si>
    <t>V-6</t>
  </si>
  <si>
    <t>V-5</t>
  </si>
  <si>
    <t>2029-2031</t>
  </si>
  <si>
    <t>V-17.20</t>
  </si>
  <si>
    <t>Roosi suvilapiirkonnas sademevee torustiku rajamine</t>
  </si>
  <si>
    <t>Roosi suvilapiirkonna sademevee eesvoolu kraavi rajamine Emajõeni</t>
  </si>
  <si>
    <t>Kruusamäe teele sademevee torustiku rajamine Kitseojani</t>
  </si>
  <si>
    <t>V-3.3</t>
  </si>
  <si>
    <t>V-3.5</t>
  </si>
  <si>
    <t>Mooni arendusala sademevee torustiku rajamine ja ühendamine suvilapiirkonna rajatava torustikuga</t>
  </si>
  <si>
    <t>De250 - rajada koos ÜVK-ga</t>
  </si>
  <si>
    <t>Lohkva küla</t>
  </si>
  <si>
    <t>Metsanurga, Keldriaugu, Sussari piirkonna kraavituse korrastamine, võsast puhastamine</t>
  </si>
  <si>
    <t>V-4</t>
  </si>
  <si>
    <t>Rajada koos ÜVK-ga</t>
  </si>
  <si>
    <t>V-3.4</t>
  </si>
  <si>
    <t>Sinilinnu tee ja Kollu piirkonna sademevee torustiku rajamine</t>
  </si>
  <si>
    <t xml:space="preserve">Pillikoori tee ja põik sademeveetorustiku rajamine </t>
  </si>
  <si>
    <t>V-1</t>
  </si>
  <si>
    <t>Lohkva kraavi biotiikidesse suunatavate sademeveetorustike ümber ühendamiseks torustiku rajamine</t>
  </si>
  <si>
    <t>Lõõtspilli tee piirkonna sademevee torustiku rajamine ja ühendamine olemasolevaga</t>
  </si>
  <si>
    <t xml:space="preserve">Kaalukoja tee äärde kraavi rajamine (eesvooluks Põltsamaa kinnistule ja Keldriaugu teele) </t>
  </si>
  <si>
    <t xml:space="preserve">Ridaküla, Tuuleaasa, Mardi ja Pärli tee sademevee torustiku rajamine </t>
  </si>
  <si>
    <t>Võib toru asemel ka kraavi rajamise planeerida</t>
  </si>
  <si>
    <t>Salu tee piirkonna sademevee ümbersuunamiseks sademevee torustiku rajamine Jahipõllu kinnistu piiril</t>
  </si>
  <si>
    <t>V-2</t>
  </si>
  <si>
    <t>Salu tee piirkonna juurde survelise sademevee torustiku rajamine</t>
  </si>
  <si>
    <t>Pumpla rajamine</t>
  </si>
  <si>
    <t>Salu tee piirkonna sademevee pumpla rajamine</t>
  </si>
  <si>
    <t>Rõõmu küla</t>
  </si>
  <si>
    <t>Salu tee eesvoolu kraav ning Radlovi kinnistult alguse saava kraavi puhastamine ja uue ühenduse rajamne edasise kraaviga</t>
  </si>
  <si>
    <t>Truubi rajamine</t>
  </si>
  <si>
    <t>Männisalu kinnistu juurest alguse saava uue kraavi jaoks truubi rajamine</t>
  </si>
  <si>
    <t>Muri küla</t>
  </si>
  <si>
    <t>V-3.13</t>
  </si>
  <si>
    <t>Põvvatu küla</t>
  </si>
  <si>
    <t>Loogavälja, Roosipuu tee piirkonnale sademevee eesvooluks oleva kraavi rajamine</t>
  </si>
  <si>
    <t>V-3.12 ja V-3.8</t>
  </si>
  <si>
    <t>V-3.8</t>
  </si>
  <si>
    <t>Pedaja tee arendusala sademevee torustiku rajamine</t>
  </si>
  <si>
    <t>V-3.6</t>
  </si>
  <si>
    <t>Luunja alevik</t>
  </si>
  <si>
    <t>V-17.17</t>
  </si>
  <si>
    <t>Pikaajaline</t>
  </si>
  <si>
    <t>V-17.16</t>
  </si>
  <si>
    <t>Talli maaüksuse planeeringuala sademevee torustiku rajamine</t>
  </si>
  <si>
    <t>Uue tänava sademeveetorustiku eesvooluks oleva kraavi truubi korrastamine</t>
  </si>
  <si>
    <t>Kakumetsa küla</t>
  </si>
  <si>
    <t>Ringraja ja Mäe tee piirkonna sademevee torustiku rajamine</t>
  </si>
  <si>
    <t>V-3.9</t>
  </si>
  <si>
    <t>Maasika, Kivistiku piirkonna sademeveetorustiku rajamine ja ühendamine olemasolevaga</t>
  </si>
  <si>
    <t>Maria tee piirkonna sademevee juhtimiseks Kitseojja sademevee torustiku rajamine</t>
  </si>
  <si>
    <t>Pilka küla</t>
  </si>
  <si>
    <t>Metsatuka arendusala sademeveetorustiku rajamine</t>
  </si>
  <si>
    <t>V-9.2</t>
  </si>
  <si>
    <t>Kavastu küla</t>
  </si>
  <si>
    <t>Parve põik 5 kraavi ühenduse loomine Kavastu kraavistikuga</t>
  </si>
  <si>
    <t>V-13</t>
  </si>
  <si>
    <t>Jõesadama tn 8a kraavi rekonstrueerimine</t>
  </si>
  <si>
    <t>Kitseoja truubi puhastamine Satikasoo teel Kellukese tee risti juures</t>
  </si>
  <si>
    <t>Kotardi teelt alguse saava kraavi puhastamine võsast</t>
  </si>
  <si>
    <t>Kogu vald</t>
  </si>
  <si>
    <t>VK teeninduspiirkond</t>
  </si>
  <si>
    <t>2028-2035</t>
  </si>
  <si>
    <t>2024-2027</t>
  </si>
  <si>
    <t>V-17.18</t>
  </si>
  <si>
    <t>Käokinga-Nurmenuku piirkonda sademeveetorustiku rajamine kinnistute vahelistele aladele</t>
  </si>
  <si>
    <t>Sademevesüsteemide inventariseerimine</t>
  </si>
  <si>
    <t>AS Tartu Veevärk</t>
  </si>
  <si>
    <t>AS Emajõe Veevärk</t>
  </si>
  <si>
    <t>Luunja valla sademevee majandamise kava investeeringuprogrammi koondtabel</t>
  </si>
  <si>
    <t>Pikaajaline 2028-2035</t>
  </si>
  <si>
    <t>Lühiajaline 2024-2027</t>
  </si>
  <si>
    <t>Valla investeeringud</t>
  </si>
  <si>
    <t>Kokku</t>
  </si>
  <si>
    <t>Arendajate investeeringud liitumistasudest</t>
  </si>
  <si>
    <t>Iga-aastane kraavide ja nende truupide hooldus ja puhastamine kogu vallas, alustades suublast ning liikudes aastatega ülesvoolu suunas</t>
  </si>
  <si>
    <t>Viira küla</t>
  </si>
  <si>
    <t>V-14.2</t>
  </si>
  <si>
    <t>Viira teel asuva Viira kraavi truubi puhastamine</t>
  </si>
  <si>
    <t>Lohkva-Kabina-Vanamõisa tee ja Uus-Veeriku tee ristis asuva truubi puhastamine</t>
  </si>
  <si>
    <t>Sääsküla</t>
  </si>
  <si>
    <t>Nossu teel Kangro maaparandusehitise eesvoolu (21023600101900021) truubi rekonstrueerimine</t>
  </si>
  <si>
    <t>V-10</t>
  </si>
  <si>
    <t>Sirgumetsa küla</t>
  </si>
  <si>
    <t>V-11.10</t>
  </si>
  <si>
    <t>Laukasoo teel truubi puhastamine Ees-Vereva ja Kasepõllu kinnistute vahel</t>
  </si>
  <si>
    <t>Sirgu küla</t>
  </si>
  <si>
    <t>Sirgu-Pilka tee L1 asuva truubi rekonstrueerimine</t>
  </si>
  <si>
    <t>V-8</t>
  </si>
  <si>
    <t>Sava küla</t>
  </si>
  <si>
    <t>Sepa tee ja Luunja-Kavastu-Koosa tee ristil asuva truubi rekonstrueerimine</t>
  </si>
  <si>
    <t>V-17.11</t>
  </si>
  <si>
    <t>Lemmatu teel oleva Saeveski oja truubi rekonstrueerimine</t>
  </si>
  <si>
    <t>V-11</t>
  </si>
  <si>
    <t>Lemmatu tee ja Kreegi kinnistu suunas asuva eratee truubi puhastamine</t>
  </si>
  <si>
    <t>Sepa teel asuva maaparandusehitise Võngi eesvoolu (21047100200500011) truubi puhastamine</t>
  </si>
  <si>
    <t>V-11.3</t>
  </si>
  <si>
    <t>Roobi tee ja Lennu tee vahelise kraavi puhastamine võsast</t>
  </si>
  <si>
    <t>Rõõmu-Viira tee ning Ridaküla tee ristis asuva truubi puhastamine</t>
  </si>
  <si>
    <t>Loogavälja, Roosipuu tee piirkonnale sademevee eesvooluks oleva kraavi rajamisel Põvvatu-Sahkapuu teele truubi rajamine</t>
  </si>
  <si>
    <t>V-3.12</t>
  </si>
  <si>
    <t>Poksi küla</t>
  </si>
  <si>
    <t>Osisoo kraavil Poksi teel asuva truubi puhastamine</t>
  </si>
  <si>
    <t>V-12</t>
  </si>
  <si>
    <t>Pajukurmu küla</t>
  </si>
  <si>
    <t>V-14</t>
  </si>
  <si>
    <t>Lõvisuu ja Lõvikarva kinnistutepiiril ning Kisla kinnistul maaparanduseesvoolu kraavi truupide korrastamine</t>
  </si>
  <si>
    <t>Kabina teel Lohkva kraavi truubi puhastamine</t>
  </si>
  <si>
    <t>Tartu linna ja Luunja valla piiril asuva Lohkva kraavi truubi puhastamine- Tartu linna poolt võsast puhastamine</t>
  </si>
  <si>
    <t>Vajalik ka Tartu linna poolt Lohkva kraavi ja seal asuvate truupide puhatamine</t>
  </si>
  <si>
    <t>Kõivu küla</t>
  </si>
  <si>
    <t>Sirgu-Pilka teel Ojaste kraavi truubi betoonosa rekonstrueerimine</t>
  </si>
  <si>
    <t>V-9.1</t>
  </si>
  <si>
    <t>Kikaste küla</t>
  </si>
  <si>
    <t>Saeveski kraavil Lamba ja Oolopõllu kinnistute piiril asuva truubi puhastamine</t>
  </si>
  <si>
    <t>V-11.1</t>
  </si>
  <si>
    <t>Kraavi puhastamine võsast ja settest</t>
  </si>
  <si>
    <t>Arendaja ja vald 50/50</t>
  </si>
  <si>
    <t>V-3</t>
  </si>
  <si>
    <t>Sademevee torustiku rajamine/rekonstrueerimine, DN200-450 kõvakattega alal</t>
  </si>
  <si>
    <t>Sademevee torustiku rajamine/rekonstueerimine, DN200-450 haljasalal</t>
  </si>
  <si>
    <t>Sademevee torustiku rajamine/rekonstrueerimine, DN450-900 kõvakattega alal</t>
  </si>
  <si>
    <t>Sademevee torustiku rajamine/rekonstrueerimine, DN450-900 haljasalal</t>
  </si>
  <si>
    <t>Survelise sademevee torustiku rajamine/rekonstrueerimine, DN110-160 kõvakattega alal</t>
  </si>
  <si>
    <t>Survelise sademevee torustiku rajamine/rekonstrueerimine, DN110-160 haljasalal</t>
  </si>
  <si>
    <t>Sademeveepumpla rajamine, Q&lt;15 l/s</t>
  </si>
  <si>
    <t>Sademeveepumpla rajamine, Q 15-30 l/s</t>
  </si>
  <si>
    <t>Truubi puhastamine, DN500-1000</t>
  </si>
  <si>
    <t>Truubi puhastamine, &lt;DN500</t>
  </si>
  <si>
    <t>Truubi rajamine/rekonstrueerimine, DN500-1000</t>
  </si>
  <si>
    <t>Truubi rajamine/rekonstrueerimine, &lt;DN500</t>
  </si>
  <si>
    <t>Papisaare maaparandusehitise eesvoolu truubi puhastamine Võidu teel</t>
  </si>
  <si>
    <t>Maaparandussüsteemi omanik/ maaparandusühistu</t>
  </si>
  <si>
    <t>Püti kinnistul (43201:003:0173) truubi korrastamine</t>
  </si>
  <si>
    <t xml:space="preserve">Papisaare maaparandusehitise eesvoolu truubi betoonkeha rekonstrueerimine Soosaare teel </t>
  </si>
  <si>
    <t>Tartu-Räpina-Värska tee ja Kaalukoja tee ristis truubi puhastamine</t>
  </si>
  <si>
    <t>Pajula tee 6 kinnistul asuva truubi puhastamine + eelneva, riigi teel (Pajula teel) asuva, truubi puhastamine</t>
  </si>
  <si>
    <t>Roobi tee ja Lennu tee vahelise kraavi truupide puhastamine</t>
  </si>
  <si>
    <t>Maaparandussüsteemi eesvoolul olevad truubid - vajalik puhastada arendusaladelt lisanduva sademevee tõttu. Ühe arenduse raames ilmselt juba tehtud, seega pikaajaline tegevus kui teine arendusala peaks välja ehitatama</t>
  </si>
  <si>
    <t>Truup asuks riigiteel</t>
  </si>
  <si>
    <t>Lodu peakraavil (Porijõgi) oleva Müürsepa kinnistul Viira kraavi suubumiskoha läheduses asuva truubi puhastamine</t>
  </si>
  <si>
    <t>Kinnistute omanikud</t>
  </si>
  <si>
    <t>Sinilinnu tee arendusala ääres kraavi rajamine</t>
  </si>
  <si>
    <t>Sengo (43201:001:0365) ja Linnu (43201:001:1159) kinnistu piiril sademevee torustiku rajamine</t>
  </si>
  <si>
    <t>Linnuraja tee ning põik piirkonna ning Sengo (43201:001:0364) kinnistul sademevee torustiku rajamine</t>
  </si>
  <si>
    <t>Ridaküla teelt, Timuski (43201:001:0580) ja Sengo (43201:001:0364) kinnistute piiril kraavi rajamine Ridaküla tee piirkonna eesvooluks</t>
  </si>
  <si>
    <t>Põltsamaa (43201:001:1161) kinnistu äärde sademevee torustiku rajamine</t>
  </si>
  <si>
    <t>Õuna (43201:001:0975) kinnistu piiril kraavi rajamine</t>
  </si>
  <si>
    <t>Looga (43201:001:2541) kinnistu piiril (Rõõmu ja Muri küla piiril) kraavi rajamine kuni Lohkva kraavini</t>
  </si>
  <si>
    <t>Lõvisuu (43201:001:0247) ja Lõvikõrva (43201:001:0248) kinnistutele arendusala sademeveetorustike rajamine</t>
  </si>
  <si>
    <t>Loogavälja (43201:001:1391), Roosipuu tee piirkonnale sademevee eesvooluks oleva kraavi rajamine</t>
  </si>
  <si>
    <t>Uuel tänaval Lasteaiast Puiestee tänava suunas sademevee torustiku rajamine</t>
  </si>
  <si>
    <t>Talli tänava, Peru tee ja Talli maaüksuse ümbruses olevate kraavide puhastamine võsast ja settest</t>
  </si>
  <si>
    <t>Maria tee äärde nõva rajamine</t>
  </si>
  <si>
    <t>km</t>
  </si>
  <si>
    <t>Maa omanike, maaparandusühistute investeeringud</t>
  </si>
  <si>
    <t>Olemasolevate sademeveesüsteemide (torustike) inventariseerimine - geodeesia koostamine, pildistamine, gis kihtide täpsustamine, andmebaasi korrastamine</t>
  </si>
  <si>
    <t>2028-2033</t>
  </si>
  <si>
    <t>Olemasolevate sademeveesüsteemide (kraavide, ojade) inventariseerimine - geodeesia koostamine, pildistamine, gis kihtide täpsustamine, andmebaasi korrastamine</t>
  </si>
  <si>
    <t>Summa kaheksa aasta kohta. Arvestatud valla maadel ning valla teede äärseid kraave, mis ei ole maaparandussüsteemide osad ega riigiteeäärsed kraavid</t>
  </si>
  <si>
    <t>2025-2026</t>
  </si>
  <si>
    <t>2027-2028</t>
  </si>
  <si>
    <t>2025-2027</t>
  </si>
  <si>
    <t>Eeldatavasti tehtav lühiajalise perioodi lõpus, kuid tööd võivad nihkuda ka pikaajalise perioodi algusesse. Investeering jagatud pika ja lühikese perioodi vahel</t>
  </si>
  <si>
    <t>Lühi- ja pikaajaline</t>
  </si>
  <si>
    <t>Investeeringu jagunemine erinevate osapoolte vahel on kokkuleppeline, vastavalt teostatavate tööde ulatusest ja mahust ning investeeringu jagunemise osakaalud ja summad võivad sellest tulenevalt muutuda.</t>
  </si>
  <si>
    <t>Käbi, Kännu tänava elurajooni sademevee torustiku rajamine</t>
  </si>
  <si>
    <t>Uue tänava elurajooni sademevee torustiku rajamine</t>
  </si>
  <si>
    <t>Planeeritud kaasrahastusena - osa KIK toetusest ning omafinantseering jagatuna valla, vee-ettevõtte ning kinnistuomanikega</t>
  </si>
  <si>
    <t>De250. Piirkonnas arendaja on pankrotistunud, uue arendaja tulekul investeering endiselt arendaja kulu, aga kui piirkond antakse vallale üle, muutuks investeering valla kohustuseks</t>
  </si>
  <si>
    <t>Kellukese, Kuusekese ja Männi tee suvilapiirkonnas sademevee torustiku rajamine</t>
  </si>
  <si>
    <t>Summa kolme aasta kohta. Arvestatud valla maadel ning valla teede äärseid kraave, mis ei ole maaparandussüsteemide osad, riigiteeäärsed kraavid</t>
  </si>
  <si>
    <t>Olemasolevate sademeveesüsteemide (kraavid) inventariseerimine, et oleks täpselt teada IKÕ seadmise vajadus ja asukoht; summa kuue aasta kohta kokku, aasta kohta maksumus 26 500,00 eurot</t>
  </si>
  <si>
    <t>Kraavide ja truupide iga-aastane hooldus, alustades suubla poolt ning liikudes puhastamisega aastate jooksul ülesvoolu suunas</t>
  </si>
  <si>
    <t>Võimalik teostada siis kui valgala V-1 arendused ja nende sademevee lahendused Põltsamaa kinnistul (43201:001:1161) on välja ehitatud</t>
  </si>
  <si>
    <t>Arendaja (liitumistasudest)</t>
  </si>
  <si>
    <t>Uus-Veeriku ja Siniliilia tee sademevee eesvooluks oleva kraavi uue ühenduse rajamine Püti kinnistu piirilt</t>
  </si>
  <si>
    <t>Kraavi alguspunkt XY: 6471443, 664067 ja lõpp-punkt Püti kinnistu ääres asuva hooneni viiva tee truubi juures (6471330, 664040)</t>
  </si>
  <si>
    <t>XY: 6471327, 664040</t>
  </si>
  <si>
    <t>XY: 6471725, 663815</t>
  </si>
  <si>
    <t>V-17.14</t>
  </si>
  <si>
    <t>XY: 6472814, 663750. Tegu maaparandussüsteemi eesvooluga, mis vajab toimimiseks puhastust. Kraavi ja läbi truubi juhitakse sademevett nii olemasolevatelt aladelt kui arendusaladelt, seetõttu investeering jagatud arendajate ja valla vahel. Investeeringu jagunemine erinevate osapoolte vahel on kokkuleppeline, vastavalt teostatavate tööde ulatusest ja mahust ning investeeringu jagunemise osakaalud ja summad võivad sellest tulenevalt muutuda.</t>
  </si>
  <si>
    <t>Riigiteel asuv kraav ja selle truup (XY: 6473820, 663282), kuid oluliseks eesvooluks perspektiivsetele ja olemasolevatele aladele. Investeeringu jagunemine erinevate osapoolte vahel on kokkuleppeline, vastavalt teostatavate tööde ulatusest ja mahust ning investeeringu jagunemise osakaalud ja summad võivad sellest tulenevalt muutuda.</t>
  </si>
  <si>
    <t>(XY: 6473820, 663282) Kraav oleks eesvooluks enne Lohkva kraavi maaparandussüsteemi eesvoolu nii olemasolevatele kui perspektiivsetele arendusaladele. Truup jääks riigi teele, aga aitaks suunata Roobi teest Muri küla suunas jäävad alad Lohkva kraavi. Investeeringu jagunemine erinevate osapoolte vahel on kokkuleppeline, vastavalt teostatavate tööde ulatusest ja mahust ning investeeringu jagunemise osakaalud ja summad võivad sellest tulenevalt muutuda.</t>
  </si>
  <si>
    <t>XY: 6475311, 663555</t>
  </si>
  <si>
    <t>XY: 6471765, 666192. Riiklikult korrashoitaval maaparnadussüsteemi eesvoolul asuv truup, kuid vajab puhastamist ning sellest ülesvoolu jäävad nii olemasolevad alad kui ka perspektiivsed alad, kust sademevesi sinna jõuab. Investeeringu jagunemine erinevate osapoolte vahel on kokkuleppeline, vastavalt teostatavate tööde ulatusest ja mahust ning investeeringu jagunemise osakaalud ja summad võivad sellest tulenevalt muutuda.</t>
  </si>
  <si>
    <t>XY: 6476779, 674060</t>
  </si>
  <si>
    <t>XY: 6479316, 674213</t>
  </si>
  <si>
    <t>XY: 6475363, 673891</t>
  </si>
  <si>
    <t>Maaparandussüsteemi Papisaare 2102360010300 eesvoolu truup, kus enne truupi veetase madalam kui truubi ava ning truubi ava ees oksarägu. XY: 6470579, 666708</t>
  </si>
  <si>
    <t>Puhastada kui piirkonda tuleb uusi arendusalasid, mis oma sademevee sinna juhivad. Kraavi asub eraomandis olevate kinnistute piiril ning seni hooldajaks maa omanikud. XY: 6475788, 663719</t>
  </si>
  <si>
    <t>Tegu on maaparandusehitise Sirgu  (21023600102200011) eesvoolul asuva truubiga, XY: 6474550, 671182</t>
  </si>
  <si>
    <t>Tegu on maaparandusehitise Kõivuküla eesvooluga (21047000200300011), XY: 6476274, 671137</t>
  </si>
  <si>
    <t>Mäepõllu arendusala (43201:001:2355) sademeveetorustiku rajamine</t>
  </si>
  <si>
    <t>Mäepõllu arendusala (43201:001:2355) nõvade rajamine</t>
  </si>
  <si>
    <t>Tegu on maaparandusehitise eesvoolul asuva truubiga. XY: 6477471, 672587</t>
  </si>
  <si>
    <t>Tegu riiklikult korrashoitava eesvooluga, XY: 6476789, 674104</t>
  </si>
  <si>
    <t>Tegu on maaparandusehitise Sepa eesvooluga (21047100200200021), XY: 6477074, 675542</t>
  </si>
  <si>
    <t>Tegu on  maaparandusehitise Võngi eesvoolul (21047100200500011) asuva truubiga, XY: 6476031, 674157</t>
  </si>
  <si>
    <t>Tegu on maaparandusehitise Poksi eesvooluga (21023600101300021), XY: 6476306, 676864</t>
  </si>
  <si>
    <t>Tegu on riiklikult korrashoitava eesvooluga, XY: 6478294, 679783</t>
  </si>
  <si>
    <t>Tegu maaparandusehitise võrgus asuva truubiva Meirei ja Luksepa kinnistu juures, XY: 6478372, 678491</t>
  </si>
  <si>
    <t>Tegu on truubiga, mis asub Viira kraavil, mis on riiklikult korrashoitav eesvool, XY: 6479010, 678226</t>
  </si>
  <si>
    <t>Maaparandussüsteemi Papisaare 2102360010300 eesvoolu truup, XY: 6470674, 666732</t>
  </si>
  <si>
    <t>Arendajate investeeringud</t>
  </si>
  <si>
    <t>Maa omanike /maaparandusühistute investeeringud</t>
  </si>
  <si>
    <t>Tegu riiklikult korrashoitava eesvooluga, kuhu juhitakse olemasoleva ja perspektiivselt rajatava torustike ning kraavidega sademevett, sellest tulenevalt vajadus hoolduse järgi pikas perspektiivis, mille maht jaotatakse arendajate ja valla vahel. Maht Põvvatu-Luunja teest suudmeni, kuhu jäävad nii uued arendusla, olemasolevad sademekanalisatsiooniga alad kui ka olemasolevad perspektiivselt sademeveekanalisatsiooniga alad. Investeeringu jagunemine erinevate osapoolte vahel on kokkuleppeline, vastavalt teostatavate tööde ulatusest ja mahust ning investeeringu jagunemise osakaalud ja summad võivad sellest tulenevalt muutuda. Ulatub Kabina ja Põvvatu küla aladele.</t>
  </si>
  <si>
    <t>Tammeserva (43202:002:0216) planeeringualal sademevee torustiku rajamine</t>
  </si>
  <si>
    <t>V-3.2</t>
  </si>
  <si>
    <t>Mäe tee 5 planeeringuala sademeveetorustiku rajamine ja ühendamine perspektiivse rajatava torustikuga</t>
  </si>
  <si>
    <t>Soojuse tee 2 arendusala sademeveetorustiku rajamine</t>
  </si>
  <si>
    <t>De250 - rajada koos ÜVK-ga, kaardil kraavi nimetus K-9</t>
  </si>
  <si>
    <t>Kaardil kraavi nimetus K-7</t>
  </si>
  <si>
    <t xml:space="preserve">Ratasvälja (43201:001:0096) ja Timuski (43201:001:2507) piirkonna arendusalade sademevee torustiku rajamine </t>
  </si>
  <si>
    <t>Kaardil kraavi nimetus K-2</t>
  </si>
  <si>
    <t>Kaardil kraavi nimetus K-1</t>
  </si>
  <si>
    <t>Kaardil kraavi nimetus K-4</t>
  </si>
  <si>
    <t>Kaardil kraavi nimetus K-5</t>
  </si>
  <si>
    <t>Osa kraavist jääb Põvvatu küla aladele, osa Kakumetsa külasse (vastavalt ca 1370 ja 1025m). Kaardil kraavi nimetus K-6</t>
  </si>
  <si>
    <t>Kaardil kraavi nimetus K-3</t>
  </si>
  <si>
    <t>Kaardil kraavi nimetus K-8</t>
  </si>
  <si>
    <t>Projekteerimine</t>
  </si>
  <si>
    <t>Omanikujärelevalve</t>
  </si>
  <si>
    <t>Kitseoja puhastamine settest ja rohust, truupide mõõdistamine</t>
  </si>
  <si>
    <t>Kraavi korrastamine</t>
  </si>
  <si>
    <t>Truubi korrastamine</t>
  </si>
  <si>
    <t>Kraavide ja truupide korrastamine</t>
  </si>
  <si>
    <t>Uue tänava sademeveetorustiku eesvooluks oleva kraavi korrastamine, puhastamine settest ja võsast</t>
  </si>
  <si>
    <t>Meieri teel asuv Saeveski oja truubi rekonstrueerimine</t>
  </si>
  <si>
    <t>Tegu on riikilult korrashoitaval eesvoolul paikneva truubiga  (XY: 6477667, 674126), kuid on oluline sademevee ärajuhtimisel</t>
  </si>
  <si>
    <t xml:space="preserve">Olemasolevate sademeveetorustike inventariseerimine, et täpsustada omandi küsimus ning vajadusel seada IKÕ eramaadel olevatele torudele (ca 8+4,65 km). Valla maadel olevaid torustikke (ca 10 km) inventariseerida eeldusel, et soovitakse vee-ettevõttele üle anda. Kogusumma võib väheneda (16 461,00 euro võrra) tulenevalt sellest, et osad torustikud antakse koos teedega eelduslikult üle enne inventariseerimist või arendusalade lõplikul valmimisel.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</si>
</sst>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_-;\-* #,##0.00_-;_-* &quot;-&quot;??_-;_-@_-"/>
  </numFmts>
  <fonts count="12"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4"/>
      <color theme="1"/>
      <name val="Calibri"/>
      <family val="2"/>
      <scheme val="minor"/>
    </font>
    <font>
      <b/>
      <u/>
      <sz val="11"/>
      <color theme="1"/>
      <name val="Calibri"/>
      <family val="2"/>
      <scheme val="minor"/>
    </font>
    <font>
      <sz val="11"/>
      <name val="Calibri"/>
      <family val="2"/>
      <scheme val="minor"/>
    </font>
    <font>
      <sz val="11"/>
      <name val="Calibri"/>
      <family val="2"/>
      <charset val="186"/>
      <scheme val="minor"/>
    </font>
    <font>
      <b/>
      <sz val="11"/>
      <name val="Calibri"/>
      <family val="2"/>
      <scheme val="minor"/>
    </font>
    <font>
      <sz val="10"/>
      <name val="Verdana"/>
      <family val="2"/>
    </font>
    <font>
      <sz val="7"/>
      <name val="Roboto"/>
    </font>
    <font>
      <b/>
      <sz val="18"/>
      <name val="Calibri"/>
      <family val="2"/>
      <scheme val="minor"/>
    </font>
    <font>
      <sz val="18"/>
      <name val="Calibri"/>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5">
    <xf numFmtId="0" fontId="0" fillId="0" borderId="0" xfId="0"/>
    <xf numFmtId="0" fontId="3" fillId="0" borderId="0" xfId="0" applyFont="1"/>
    <xf numFmtId="0" fontId="2" fillId="0" borderId="1" xfId="0" applyFont="1" applyBorder="1"/>
    <xf numFmtId="0" fontId="2" fillId="0" borderId="1" xfId="0" applyFont="1" applyBorder="1" applyAlignment="1">
      <alignment horizontal="right"/>
    </xf>
    <xf numFmtId="0" fontId="0" fillId="0" borderId="1" xfId="0" applyBorder="1"/>
    <xf numFmtId="0" fontId="0" fillId="0" borderId="1" xfId="0" applyBorder="1" applyAlignment="1">
      <alignment wrapText="1"/>
    </xf>
    <xf numFmtId="0" fontId="0" fillId="0" borderId="1" xfId="0" applyBorder="1" applyAlignment="1">
      <alignment horizontal="right"/>
    </xf>
    <xf numFmtId="3" fontId="0" fillId="0" borderId="1" xfId="0" applyNumberFormat="1" applyBorder="1" applyAlignment="1">
      <alignment horizontal="right"/>
    </xf>
    <xf numFmtId="0" fontId="0" fillId="0" borderId="1" xfId="0" applyBorder="1" applyAlignment="1">
      <alignment horizontal="right" wrapText="1"/>
    </xf>
    <xf numFmtId="44" fontId="0" fillId="0" borderId="1" xfId="2" applyFont="1" applyBorder="1"/>
    <xf numFmtId="44" fontId="0" fillId="0" borderId="0" xfId="0" applyNumberFormat="1"/>
    <xf numFmtId="44" fontId="0" fillId="0" borderId="1" xfId="0" applyNumberFormat="1" applyBorder="1"/>
    <xf numFmtId="0" fontId="4" fillId="0" borderId="0" xfId="0" applyFont="1"/>
    <xf numFmtId="0" fontId="0" fillId="0" borderId="4" xfId="0" applyBorder="1"/>
    <xf numFmtId="0" fontId="0" fillId="0" borderId="5" xfId="0" applyBorder="1"/>
    <xf numFmtId="0" fontId="0" fillId="0" borderId="6" xfId="0" applyBorder="1"/>
    <xf numFmtId="44" fontId="0" fillId="0" borderId="7" xfId="0" applyNumberFormat="1" applyBorder="1"/>
    <xf numFmtId="44" fontId="0" fillId="0" borderId="8" xfId="0" applyNumberFormat="1" applyBorder="1"/>
    <xf numFmtId="44" fontId="0" fillId="0" borderId="2" xfId="2" applyFont="1" applyBorder="1"/>
    <xf numFmtId="44" fontId="0" fillId="0" borderId="3" xfId="2" applyFont="1" applyBorder="1"/>
    <xf numFmtId="44" fontId="0" fillId="0" borderId="7" xfId="2" applyFont="1" applyBorder="1"/>
    <xf numFmtId="44" fontId="0" fillId="0" borderId="8" xfId="2" applyFont="1" applyBorder="1"/>
    <xf numFmtId="9" fontId="0" fillId="0" borderId="0" xfId="3" applyFont="1"/>
    <xf numFmtId="0" fontId="6" fillId="0" borderId="0" xfId="0" applyFont="1"/>
    <xf numFmtId="0" fontId="6" fillId="0" borderId="0" xfId="0" applyFont="1" applyAlignment="1">
      <alignment horizontal="left"/>
    </xf>
    <xf numFmtId="0" fontId="6" fillId="0" borderId="0" xfId="0" applyFont="1" applyAlignment="1">
      <alignment wrapText="1"/>
    </xf>
    <xf numFmtId="44" fontId="6" fillId="0" borderId="0" xfId="0" applyNumberFormat="1" applyFont="1"/>
    <xf numFmtId="0" fontId="7" fillId="0" borderId="1" xfId="0" applyFont="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right" vertical="center"/>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vertical="center" wrapText="1"/>
    </xf>
    <xf numFmtId="43" fontId="6" fillId="0" borderId="1" xfId="1" applyFont="1" applyFill="1" applyBorder="1" applyAlignment="1">
      <alignment vertical="center"/>
    </xf>
    <xf numFmtId="44" fontId="6" fillId="0" borderId="1" xfId="2" applyFont="1" applyFill="1" applyBorder="1" applyAlignment="1">
      <alignment vertical="center"/>
    </xf>
    <xf numFmtId="1" fontId="6" fillId="0" borderId="1" xfId="0" applyNumberFormat="1" applyFont="1" applyBorder="1" applyAlignment="1">
      <alignment vertical="center"/>
    </xf>
    <xf numFmtId="0" fontId="5" fillId="0" borderId="1" xfId="0" applyFont="1" applyBorder="1" applyAlignment="1">
      <alignment vertical="center" wrapText="1"/>
    </xf>
    <xf numFmtId="0" fontId="6" fillId="0" borderId="0" xfId="0" applyFont="1" applyAlignment="1">
      <alignment vertical="center" wrapText="1"/>
    </xf>
    <xf numFmtId="0" fontId="6" fillId="0" borderId="1" xfId="0" applyFont="1" applyBorder="1" applyAlignment="1">
      <alignment horizontal="left" vertical="center" wrapText="1"/>
    </xf>
    <xf numFmtId="2" fontId="6" fillId="0" borderId="1" xfId="0" applyNumberFormat="1" applyFont="1" applyBorder="1" applyAlignment="1">
      <alignment vertical="center"/>
    </xf>
    <xf numFmtId="0" fontId="8" fillId="0" borderId="1" xfId="0" applyFont="1" applyBorder="1" applyAlignment="1">
      <alignment vertical="center"/>
    </xf>
    <xf numFmtId="43" fontId="6" fillId="0" borderId="1" xfId="1" applyFont="1" applyBorder="1" applyAlignment="1">
      <alignment vertical="center"/>
    </xf>
    <xf numFmtId="0" fontId="9" fillId="0" borderId="1" xfId="0" applyFont="1" applyBorder="1" applyAlignment="1">
      <alignment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44" fontId="6" fillId="0" borderId="0" xfId="2" applyFont="1" applyFill="1" applyBorder="1" applyAlignment="1">
      <alignment vertical="center"/>
    </xf>
    <xf numFmtId="0" fontId="10" fillId="0" borderId="0" xfId="0" applyFont="1"/>
    <xf numFmtId="0" fontId="11" fillId="0" borderId="0" xfId="0" applyFont="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cellXfs>
  <cellStyles count="4">
    <cellStyle name="Koma" xfId="1" builtinId="3"/>
    <cellStyle name="Normaallaad" xfId="0" builtinId="0"/>
    <cellStyle name="Protsent" xfId="3" builtinId="5"/>
    <cellStyle name="Valu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60C56-BCD5-432E-B56C-A40CBF336C31}">
  <dimension ref="A1:C21"/>
  <sheetViews>
    <sheetView zoomScale="115" zoomScaleNormal="115" workbookViewId="0">
      <selection activeCell="A12" sqref="A12"/>
    </sheetView>
  </sheetViews>
  <sheetFormatPr defaultRowHeight="14.5" x14ac:dyDescent="0.35"/>
  <cols>
    <col min="1" max="1" width="75.08984375" customWidth="1"/>
    <col min="2" max="2" width="11.81640625" customWidth="1"/>
    <col min="3" max="3" width="11.36328125" customWidth="1"/>
  </cols>
  <sheetData>
    <row r="1" spans="1:3" ht="18.5" x14ac:dyDescent="0.45">
      <c r="A1" s="1" t="s">
        <v>0</v>
      </c>
    </row>
    <row r="3" spans="1:3" x14ac:dyDescent="0.35">
      <c r="A3" s="2" t="s">
        <v>1</v>
      </c>
      <c r="B3" s="3" t="s">
        <v>2</v>
      </c>
      <c r="C3" s="3" t="s">
        <v>3</v>
      </c>
    </row>
    <row r="4" spans="1:3" x14ac:dyDescent="0.35">
      <c r="A4" s="4" t="s">
        <v>155</v>
      </c>
      <c r="B4" s="6">
        <v>250</v>
      </c>
      <c r="C4" s="6" t="s">
        <v>4</v>
      </c>
    </row>
    <row r="5" spans="1:3" x14ac:dyDescent="0.35">
      <c r="A5" s="4" t="s">
        <v>156</v>
      </c>
      <c r="B5" s="6">
        <v>190</v>
      </c>
      <c r="C5" s="6" t="s">
        <v>4</v>
      </c>
    </row>
    <row r="6" spans="1:3" x14ac:dyDescent="0.35">
      <c r="A6" s="4" t="s">
        <v>157</v>
      </c>
      <c r="B6" s="6">
        <v>450</v>
      </c>
      <c r="C6" s="6" t="s">
        <v>4</v>
      </c>
    </row>
    <row r="7" spans="1:3" x14ac:dyDescent="0.35">
      <c r="A7" s="4" t="s">
        <v>158</v>
      </c>
      <c r="B7" s="6">
        <v>360</v>
      </c>
      <c r="C7" s="6" t="s">
        <v>4</v>
      </c>
    </row>
    <row r="8" spans="1:3" x14ac:dyDescent="0.35">
      <c r="A8" s="4" t="s">
        <v>159</v>
      </c>
      <c r="B8" s="6">
        <v>170</v>
      </c>
      <c r="C8" s="6" t="s">
        <v>4</v>
      </c>
    </row>
    <row r="9" spans="1:3" x14ac:dyDescent="0.35">
      <c r="A9" s="4" t="s">
        <v>160</v>
      </c>
      <c r="B9" s="6">
        <v>110</v>
      </c>
      <c r="C9" s="6" t="s">
        <v>4</v>
      </c>
    </row>
    <row r="10" spans="1:3" x14ac:dyDescent="0.35">
      <c r="A10" s="4" t="s">
        <v>161</v>
      </c>
      <c r="B10" s="7">
        <v>40000</v>
      </c>
      <c r="C10" s="6" t="s">
        <v>5</v>
      </c>
    </row>
    <row r="11" spans="1:3" x14ac:dyDescent="0.35">
      <c r="A11" s="4" t="s">
        <v>162</v>
      </c>
      <c r="B11" s="7">
        <v>60000</v>
      </c>
      <c r="C11" s="6" t="s">
        <v>5</v>
      </c>
    </row>
    <row r="12" spans="1:3" x14ac:dyDescent="0.35">
      <c r="A12" s="4" t="s">
        <v>6</v>
      </c>
      <c r="B12" s="6">
        <f>70</f>
        <v>70</v>
      </c>
      <c r="C12" s="6" t="s">
        <v>4</v>
      </c>
    </row>
    <row r="13" spans="1:3" x14ac:dyDescent="0.35">
      <c r="A13" s="4" t="s">
        <v>152</v>
      </c>
      <c r="B13" s="6">
        <f>110*0.8</f>
        <v>88</v>
      </c>
      <c r="C13" s="6" t="s">
        <v>4</v>
      </c>
    </row>
    <row r="14" spans="1:3" x14ac:dyDescent="0.35">
      <c r="A14" s="4" t="s">
        <v>7</v>
      </c>
      <c r="B14" s="6">
        <f>150*0.8</f>
        <v>120</v>
      </c>
      <c r="C14" s="6" t="s">
        <v>4</v>
      </c>
    </row>
    <row r="15" spans="1:3" x14ac:dyDescent="0.35">
      <c r="A15" s="4" t="s">
        <v>8</v>
      </c>
      <c r="B15" s="6">
        <f>160</f>
        <v>160</v>
      </c>
      <c r="C15" s="6" t="s">
        <v>4</v>
      </c>
    </row>
    <row r="16" spans="1:3" x14ac:dyDescent="0.35">
      <c r="A16" s="4" t="s">
        <v>23</v>
      </c>
      <c r="B16" s="6">
        <f>140</f>
        <v>140</v>
      </c>
      <c r="C16" s="6" t="s">
        <v>4</v>
      </c>
    </row>
    <row r="17" spans="1:3" x14ac:dyDescent="0.35">
      <c r="A17" s="4" t="s">
        <v>163</v>
      </c>
      <c r="B17" s="6">
        <v>900</v>
      </c>
      <c r="C17" s="6" t="s">
        <v>5</v>
      </c>
    </row>
    <row r="18" spans="1:3" x14ac:dyDescent="0.35">
      <c r="A18" s="4" t="s">
        <v>164</v>
      </c>
      <c r="B18" s="6">
        <v>700</v>
      </c>
      <c r="C18" s="6" t="s">
        <v>5</v>
      </c>
    </row>
    <row r="19" spans="1:3" x14ac:dyDescent="0.35">
      <c r="A19" s="4" t="s">
        <v>165</v>
      </c>
      <c r="B19" s="6">
        <v>6500</v>
      </c>
      <c r="C19" s="6" t="s">
        <v>5</v>
      </c>
    </row>
    <row r="20" spans="1:3" x14ac:dyDescent="0.35">
      <c r="A20" s="4" t="s">
        <v>166</v>
      </c>
      <c r="B20" s="6">
        <v>3500</v>
      </c>
      <c r="C20" s="6" t="s">
        <v>5</v>
      </c>
    </row>
    <row r="21" spans="1:3" ht="29" x14ac:dyDescent="0.35">
      <c r="A21" s="5" t="s">
        <v>111</v>
      </c>
      <c r="B21" s="6">
        <v>0.6</v>
      </c>
      <c r="C21" s="8"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A902-3B6B-4566-9912-ADDC74ED7BC0}">
  <dimension ref="A1:O24"/>
  <sheetViews>
    <sheetView tabSelected="1" zoomScaleNormal="100" workbookViewId="0">
      <selection activeCell="D43" sqref="D43"/>
    </sheetView>
  </sheetViews>
  <sheetFormatPr defaultRowHeight="14.5" x14ac:dyDescent="0.35"/>
  <cols>
    <col min="2" max="2" width="15.54296875" customWidth="1"/>
    <col min="3" max="3" width="13" customWidth="1"/>
    <col min="4" max="4" width="14.453125" customWidth="1"/>
    <col min="5" max="5" width="14" customWidth="1"/>
    <col min="6" max="6" width="14.36328125" customWidth="1"/>
    <col min="7" max="7" width="14.90625" customWidth="1"/>
    <col min="8" max="8" width="17.453125" customWidth="1"/>
    <col min="13" max="13" width="14.36328125" bestFit="1" customWidth="1"/>
    <col min="15" max="15" width="14.36328125" bestFit="1" customWidth="1"/>
  </cols>
  <sheetData>
    <row r="1" spans="1:15" ht="19" thickBot="1" x14ac:dyDescent="0.5">
      <c r="A1" s="1" t="s">
        <v>105</v>
      </c>
    </row>
    <row r="2" spans="1:15" ht="31.25" customHeight="1" thickBot="1" x14ac:dyDescent="0.4">
      <c r="B2" s="53" t="s">
        <v>10</v>
      </c>
      <c r="C2" s="49" t="s">
        <v>108</v>
      </c>
      <c r="D2" s="50"/>
      <c r="E2" s="51" t="s">
        <v>240</v>
      </c>
      <c r="F2" s="52"/>
      <c r="G2" s="49" t="s">
        <v>241</v>
      </c>
      <c r="H2" s="50"/>
    </row>
    <row r="3" spans="1:15" ht="29.5" thickBot="1" x14ac:dyDescent="0.4">
      <c r="B3" s="54"/>
      <c r="C3" s="44" t="s">
        <v>107</v>
      </c>
      <c r="D3" s="45" t="s">
        <v>106</v>
      </c>
      <c r="E3" s="44" t="s">
        <v>107</v>
      </c>
      <c r="F3" s="45" t="s">
        <v>106</v>
      </c>
      <c r="G3" s="44" t="s">
        <v>107</v>
      </c>
      <c r="H3" s="45" t="s">
        <v>106</v>
      </c>
    </row>
    <row r="4" spans="1:15" x14ac:dyDescent="0.35">
      <c r="B4" s="13" t="s">
        <v>17</v>
      </c>
      <c r="C4" s="16">
        <f>SUMIFS('Investeeringu projektid'!$M$4:$M$96,'Investeeringu projektid'!$C$4:$C$96,"Lühiajaline",'Investeeringu projektid'!$A$4:$A$96,"Veibri küla",'Investeeringu projektid'!$E$4:$E$96,"Vald")</f>
        <v>429388.79999999999</v>
      </c>
      <c r="D4" s="17">
        <f>SUMIFS('Investeeringu projektid'!$M$4:$M$96,'Investeeringu projektid'!$C$4:$C$96,"Pikaajaline",'Investeeringu projektid'!$A$4:$A$96,"Veibri küla",'Investeeringu projektid'!$E$4:$E$96,"Vald")</f>
        <v>0</v>
      </c>
      <c r="E4" s="16">
        <f>SUMIFS('Investeeringu projektid'!$M$4:$M$96,'Investeeringu projektid'!$C$4:$C$96,"Lühiajaline",'Investeeringu projektid'!$A$4:$A$96,"Veibri küla",'Investeeringu projektid'!$E$4:$E$96,"Arendaja (liitumistasudest)")</f>
        <v>61094.5</v>
      </c>
      <c r="F4" s="17">
        <f>SUMIFS('Investeeringu projektid'!$M$4:$M$96,'Investeeringu projektid'!$C$4:$C$96,"Pikaajaline",'Investeeringu projektid'!$A$4:$A$96,"Veibri küla",'Investeeringu projektid'!$E$4:$E$96,"Arendaja (liitumistasudest)")</f>
        <v>156385.4</v>
      </c>
      <c r="G4" s="20">
        <f>SUMIFS('Investeeringu projektid'!$M$4:$M$96,'Investeeringu projektid'!$C$4:$C$96,"Lühiajaline",'Investeeringu projektid'!$A$4:$A$96,B4,'Investeeringu projektid'!$E$4:$E$96,"Kinnistute omanikud")+SUMIFS('Investeeringu projektid'!$M$4:$M$96,'Investeeringu projektid'!$C$4:$C$96,"Lühiajaline",'Investeeringu projektid'!$A$4:$A$96,B4,'Investeeringu projektid'!$E$4:$E$96,"Maaparandussüsteemi omanik/ maaparandusühistu")</f>
        <v>0</v>
      </c>
      <c r="H4" s="21">
        <f>SUMIFS('Investeeringu projektid'!$M$4:$M$96,'Investeeringu projektid'!$C$4:$C$96,"Pikaajaline",'Investeeringu projektid'!$A$4:$A$96,B4,'Investeeringu projektid'!$E$4:$E$96,"Kinnistute omanikud")+SUMIFS('Investeeringu projektid'!$M$4:$M$96,'Investeeringu projektid'!$C$4:$C$96,"Pikaajaline",'Investeeringu projektid'!$A$4:$A$96,B4,'Investeeringu projektid'!$E$4:$E$96,"Maaparandussüsteemi omanik/ maaparandusühistu")</f>
        <v>0</v>
      </c>
    </row>
    <row r="5" spans="1:15" x14ac:dyDescent="0.35">
      <c r="B5" s="15" t="s">
        <v>33</v>
      </c>
      <c r="C5" s="16">
        <f>SUMIFS('Investeeringu projektid'!$M$4:$M$96,'Investeeringu projektid'!$C$4:$C$96,"Lühiajaline",'Investeeringu projektid'!$A$4:$A$96,"Kabina küla",'Investeeringu projektid'!$E$4:$E$96,"Vald")</f>
        <v>0</v>
      </c>
      <c r="D5" s="17">
        <f>SUMIFS('Investeeringu projektid'!$M$4:$M$96,'Investeeringu projektid'!$C$4:$C$96,"Pikaajaline",'Investeeringu projektid'!$A$4:$A$96,"Kabina küla",'Investeeringu projektid'!$E$4:$E$96,"Vald")+((SUMIFS('Investeeringu projektid'!$M$4:$M$96,'Investeeringu projektid'!$C$4:$C$96,"Pikaajaline",'Investeeringu projektid'!$A$4:$A$96,"Kabina küla",'Investeeringu projektid'!$E$4:$E$96,"Arendaja ja vald 50/50"))/2)</f>
        <v>1111130.8999999999</v>
      </c>
      <c r="E5" s="16">
        <f>SUMIFS('Investeeringu projektid'!$M$4:$M$96,'Investeeringu projektid'!$C$4:$C$96,"Lühiajaline",'Investeeringu projektid'!$A$4:$A$96,"Kabina küla",'Investeeringu projektid'!$E$4:$E$96,"Arendaja (liitumistasudest)")</f>
        <v>0</v>
      </c>
      <c r="F5" s="17">
        <f>SUMIFS('Investeeringu projektid'!$M$4:$M$96,'Investeeringu projektid'!$C$4:$C$96,"Pikaajaline",'Investeeringu projektid'!$A$4:$A$96,"Kabina küla",'Investeeringu projektid'!$E$4:$E$96,"Arendaja (liitumistasudest)")+((SUMIFS('Investeeringu projektid'!$M$4:$M$96,'Investeeringu projektid'!$C$4:$C$96,"Pikaajaline",'Investeeringu projektid'!$A$4:$A$96,"Kabina küla",'Investeeringu projektid'!$E$4:$E$96,"Arendaja ja vald 50/50"))/2)</f>
        <v>477093.30000000005</v>
      </c>
      <c r="G5" s="20">
        <f>SUMIFS('Investeeringu projektid'!$M$4:$M$96,'Investeeringu projektid'!$C$4:$C$96,"Lühiajaline",'Investeeringu projektid'!$A$4:$A$96,B5,'Investeeringu projektid'!$E$4:$E$96,"Kinnistute omanikud")+SUMIFS('Investeeringu projektid'!$M$4:$M$96,'Investeeringu projektid'!$C$4:$C$96,"Lühiajaline",'Investeeringu projektid'!$A$4:$A$96,B5,'Investeeringu projektid'!$E$4:$E$96,"Maaparandussüsteemi omanik/ maaparandusühistu")</f>
        <v>700</v>
      </c>
      <c r="H5" s="21">
        <f>SUMIFS('Investeeringu projektid'!$M$4:$M$96,'Investeeringu projektid'!$C$4:$C$96,"Pikaajaline",'Investeeringu projektid'!$A$4:$A$96,B5,'Investeeringu projektid'!$E$4:$E$96,"Kinnistute omanikud")+SUMIFS('Investeeringu projektid'!$M$4:$M$96,'Investeeringu projektid'!$C$4:$C$96,"Pikaajaline",'Investeeringu projektid'!$A$4:$A$96,B5,'Investeeringu projektid'!$E$4:$E$96,"Maaparandussüsteemi omanik/ maaparandusühistu")</f>
        <v>4130</v>
      </c>
    </row>
    <row r="6" spans="1:15" x14ac:dyDescent="0.35">
      <c r="B6" s="15" t="s">
        <v>46</v>
      </c>
      <c r="C6" s="16">
        <f>SUMIFS('Investeeringu projektid'!$M$4:$M$96,'Investeeringu projektid'!$C$4:$C$96,"Lühiajaline",'Investeeringu projektid'!$A$4:$A$96,"Lohkva küla",'Investeeringu projektid'!$E$4:$E$96,"Vald")</f>
        <v>900</v>
      </c>
      <c r="D6" s="17">
        <f>SUMIFS('Investeeringu projektid'!$M$4:$M$96,'Investeeringu projektid'!$C$4:$C$96,"Pikaajaline",'Investeeringu projektid'!$A$4:$A$96,"Lohkva küla",'Investeeringu projektid'!$E$4:$E$96,"Vald")+((SUMIFS('Investeeringu projektid'!$M$4:$M$96,'Investeeringu projektid'!$C$4:$C$96,"Pikaajaline",'Investeeringu projektid'!$A$4:$A$96,"Lohkva küla",'Investeeringu projektid'!$E$4:$E$96,"Arendaja ja vald 50/50"))/2)</f>
        <v>188343.3</v>
      </c>
      <c r="E6" s="16">
        <f>SUMIFS('Investeeringu projektid'!$M$4:$M$96,'Investeeringu projektid'!$C$4:$C$96,"Lühiajaline",'Investeeringu projektid'!$A$4:$A$96,"Lohkva küla",'Investeeringu projektid'!$E$4:$E$96,"Arendaja (liitumistasudest)")</f>
        <v>187030</v>
      </c>
      <c r="F6" s="17">
        <f>SUMIFS('Investeeringu projektid'!$M$4:$M$96,'Investeeringu projektid'!$C$4:$C$96,"Pikaajaline",'Investeeringu projektid'!$A$4:$A$96,"Lohkva küla",'Investeeringu projektid'!$E$4:$E$96,"Arendaja (liitumistasudest)")+((SUMIFS('Investeeringu projektid'!$M$4:$M$96,'Investeeringu projektid'!$C$4:$C$96,"Pikaajaline",'Investeeringu projektid'!$A$4:$A$96,"Lohkva küla",'Investeeringu projektid'!$E$4:$E$96,"Arendaja ja vald 50/50"))/2)</f>
        <v>2000858.7000000002</v>
      </c>
      <c r="G6" s="20">
        <f>SUMIFS('Investeeringu projektid'!$M$4:$M$96,'Investeeringu projektid'!$C$4:$C$96,"Lühiajaline",'Investeeringu projektid'!$A$4:$A$96,B6,'Investeeringu projektid'!$E$4:$E$96,"Kinnistute omanikud")+SUMIFS('Investeeringu projektid'!$M$4:$M$96,'Investeeringu projektid'!$C$4:$C$96,"Lühiajaline",'Investeeringu projektid'!$A$4:$A$96,B6,'Investeeringu projektid'!$E$4:$E$96,"Maaparandussüsteemi omanik/ maaparandusühistu")</f>
        <v>472560</v>
      </c>
      <c r="H6" s="21">
        <f>SUMIFS('Investeeringu projektid'!$M$4:$M$96,'Investeeringu projektid'!$C$4:$C$96,"Pikaajaline",'Investeeringu projektid'!$A$4:$A$96,B6,'Investeeringu projektid'!$E$4:$E$96,"Kinnistute omanikud")+SUMIFS('Investeeringu projektid'!$M$4:$M$96,'Investeeringu projektid'!$C$4:$C$96,"Pikaajaline",'Investeeringu projektid'!$A$4:$A$96,B6,'Investeeringu projektid'!$E$4:$E$96,"Maaparandussüsteemi omanik/ maaparandusühistu")</f>
        <v>0</v>
      </c>
      <c r="M6" s="10"/>
      <c r="O6" s="10"/>
    </row>
    <row r="7" spans="1:15" x14ac:dyDescent="0.35">
      <c r="B7" s="15" t="s">
        <v>64</v>
      </c>
      <c r="C7" s="16">
        <f>SUMIFS('Investeeringu projektid'!$M$4:$M$96,'Investeeringu projektid'!$C$4:$C$96,"Lühiajaline",'Investeeringu projektid'!$A$4:$A$96,"Rõõmu küla",'Investeeringu projektid'!$E$4:$E$96,"Vald")</f>
        <v>0</v>
      </c>
      <c r="D7" s="17">
        <f>SUMIFS('Investeeringu projektid'!$M$4:$M$96,'Investeeringu projektid'!$C$4:$C$96,"Pikaajaline",'Investeeringu projektid'!$A$4:$A$96,"Rõõmu küla",'Investeeringu projektid'!$E$4:$E$96,"Vald")+((SUMIFS('Investeeringu projektid'!$M$4:$M$96,'Investeeringu projektid'!$C$4:$C$96,"Pikaajaline",'Investeeringu projektid'!$A$4:$A$96,"Rõõmu küla",'Investeeringu projektid'!$E$4:$E$96,"Arendaja ja vald 50/50"))/2)</f>
        <v>225822.36</v>
      </c>
      <c r="E7" s="16">
        <f>SUMIFS('Investeeringu projektid'!$M$4:$M$96,'Investeeringu projektid'!$C$4:$C$96,"Lühiajaline",'Investeeringu projektid'!$A$4:$A$96,"Rõõmu küla",'Investeeringu projektid'!$E$4:$E$96,"Arendaja (liitumistasudest)")</f>
        <v>0</v>
      </c>
      <c r="F7" s="17">
        <f>SUMIFS('Investeeringu projektid'!$M$4:$M$96,'Investeeringu projektid'!$C$4:$C$96,"Pikaajaline",'Investeeringu projektid'!$A$4:$A$96,"Rõõmu küla",'Investeeringu projektid'!$E$4:$E$96,"Arendaja (liitumistasudest)")+((SUMIFS('Investeeringu projektid'!$M$4:$M$96,'Investeeringu projektid'!$C$4:$C$96,"Pikaajaline",'Investeeringu projektid'!$A$4:$A$96,"Rõõmu küla",'Investeeringu projektid'!$E$4:$E$96,"Arendaja ja vald 50/50"))/2)</f>
        <v>325979</v>
      </c>
      <c r="G7" s="20">
        <f>SUMIFS('Investeeringu projektid'!$M$4:$M$96,'Investeeringu projektid'!$C$4:$C$96,"Lühiajaline",'Investeeringu projektid'!$A$4:$A$96,B7,'Investeeringu projektid'!$E$4:$E$96,"Kinnistute omanikud")+SUMIFS('Investeeringu projektid'!$M$4:$M$96,'Investeeringu projektid'!$C$4:$C$96,"Lühiajaline",'Investeeringu projektid'!$A$4:$A$96,B7,'Investeeringu projektid'!$E$4:$E$96,"Maaparandussüsteemi omanik/ maaparandusühistu")</f>
        <v>0</v>
      </c>
      <c r="H7" s="21">
        <f>SUMIFS('Investeeringu projektid'!$M$4:$M$96,'Investeeringu projektid'!$C$4:$C$96,"Pikaajaline",'Investeeringu projektid'!$A$4:$A$96,B7,'Investeeringu projektid'!$E$4:$E$96,"Kinnistute omanikud")+SUMIFS('Investeeringu projektid'!$M$4:$M$96,'Investeeringu projektid'!$C$4:$C$96,"Pikaajaline",'Investeeringu projektid'!$A$4:$A$96,B7,'Investeeringu projektid'!$E$4:$E$96,"Maaparandussüsteemi omanik/ maaparandusühistu")</f>
        <v>0</v>
      </c>
      <c r="M7" s="22"/>
    </row>
    <row r="8" spans="1:15" x14ac:dyDescent="0.35">
      <c r="B8" s="15" t="s">
        <v>68</v>
      </c>
      <c r="C8" s="16">
        <f>SUMIFS('Investeeringu projektid'!$M$4:$M$96,'Investeeringu projektid'!$C$4:$C$96,"Lühiajaline",'Investeeringu projektid'!$A$4:$A$96,"Muri küla",'Investeeringu projektid'!$E$4:$E$96,"Vald")</f>
        <v>0</v>
      </c>
      <c r="D8" s="17">
        <f>SUMIFS('Investeeringu projektid'!$M$4:$M$96,'Investeeringu projektid'!$C$4:$C$96,"Pikaajaline",'Investeeringu projektid'!$A$4:$A$96,"Muri küla",'Investeeringu projektid'!$E$4:$E$96,"Vald")</f>
        <v>0</v>
      </c>
      <c r="E8" s="16">
        <f>SUMIFS('Investeeringu projektid'!$M$4:$M$96,'Investeeringu projektid'!$C$4:$C$96,"Lühiajaline",'Investeeringu projektid'!$A$4:$A$96,"Muri küla",'Investeeringu projektid'!$E$4:$E$96,"Arendaja (liitumistasudest)")</f>
        <v>0</v>
      </c>
      <c r="F8" s="17">
        <f>SUMIFS('Investeeringu projektid'!$M$4:$M$96,'Investeeringu projektid'!$C$4:$C$96,"Pikaajaline",'Investeeringu projektid'!$A$4:$A$96,"Muri küla",'Investeeringu projektid'!$E$4:$E$96,"Arendaja (liitumistasudest)")</f>
        <v>755064.8</v>
      </c>
      <c r="G8" s="20">
        <f>SUMIFS('Investeeringu projektid'!$M$4:$M$96,'Investeeringu projektid'!$C$4:$C$96,"Lühiajaline",'Investeeringu projektid'!$A$4:$A$96,B8,'Investeeringu projektid'!$E$4:$E$96,"Kinnistute omanikud")+SUMIFS('Investeeringu projektid'!$M$4:$M$96,'Investeeringu projektid'!$C$4:$C$96,"Lühiajaline",'Investeeringu projektid'!$A$4:$A$96,B8,'Investeeringu projektid'!$E$4:$E$96,"Maaparandussüsteemi omanik/ maaparandusühistu")</f>
        <v>0</v>
      </c>
      <c r="H8" s="21">
        <f>SUMIFS('Investeeringu projektid'!$M$4:$M$96,'Investeeringu projektid'!$C$4:$C$96,"Pikaajaline",'Investeeringu projektid'!$A$4:$A$96,B8,'Investeeringu projektid'!$E$4:$E$96,"Kinnistute omanikud")+SUMIFS('Investeeringu projektid'!$M$4:$M$96,'Investeeringu projektid'!$C$4:$C$96,"Pikaajaline",'Investeeringu projektid'!$A$4:$A$96,B8,'Investeeringu projektid'!$E$4:$E$96,"Maaparandussüsteemi omanik/ maaparandusühistu")</f>
        <v>0</v>
      </c>
      <c r="M8" s="22"/>
    </row>
    <row r="9" spans="1:15" x14ac:dyDescent="0.35">
      <c r="B9" s="15" t="s">
        <v>70</v>
      </c>
      <c r="C9" s="16">
        <f>SUMIFS('Investeeringu projektid'!$M$4:$M$96,'Investeeringu projektid'!$C$4:$C$96,"Lühiajaline",'Investeeringu projektid'!$A$4:$A$96,"Põvvatu küla",'Investeeringu projektid'!$E$4:$E$96,"Vald")</f>
        <v>0</v>
      </c>
      <c r="D9" s="17">
        <f>SUMIFS('Investeeringu projektid'!$M$4:$M$96,'Investeeringu projektid'!$C$4:$C$96,"Pikaajaline",'Investeeringu projektid'!$A$4:$A$96,"Põvvatu küla",'Investeeringu projektid'!$E$4:$E$96,"Vald")</f>
        <v>0</v>
      </c>
      <c r="E9" s="16">
        <f>SUMIFS('Investeeringu projektid'!$M$4:$M$96,'Investeeringu projektid'!$C$4:$C$96,"Lühiajaline",'Investeeringu projektid'!$A$4:$A$96,"Põvvatu küla",'Investeeringu projektid'!$E$4:$E$96,"Arendaja (liitumistasudest)")</f>
        <v>0</v>
      </c>
      <c r="F9" s="17">
        <f>SUMIFS('Investeeringu projektid'!$M$4:$M$96,'Investeeringu projektid'!$C$4:$C$96,"Pikaajaline",'Investeeringu projektid'!$A$4:$A$96,"Põvvatu küla",'Investeeringu projektid'!$E$4:$E$96,"Arendaja (liitumistasudest)")</f>
        <v>588171</v>
      </c>
      <c r="G9" s="20">
        <f>SUMIFS('Investeeringu projektid'!$M$4:$M$96,'Investeeringu projektid'!$C$4:$C$96,"Lühiajaline",'Investeeringu projektid'!$A$4:$A$96,B9,'Investeeringu projektid'!$E$4:$E$96,"Kinnistute omanikud")+SUMIFS('Investeeringu projektid'!$M$4:$M$96,'Investeeringu projektid'!$C$4:$C$96,"Lühiajaline",'Investeeringu projektid'!$A$4:$A$96,B9,'Investeeringu projektid'!$E$4:$E$96,"Maaparandussüsteemi omanik/ maaparandusühistu")</f>
        <v>0</v>
      </c>
      <c r="H9" s="21">
        <f>SUMIFS('Investeeringu projektid'!$M$4:$M$96,'Investeeringu projektid'!$C$4:$C$96,"Pikaajaline",'Investeeringu projektid'!$A$4:$A$96,B9,'Investeeringu projektid'!$E$4:$E$96,"Kinnistute omanikud")+SUMIFS('Investeeringu projektid'!$M$4:$M$96,'Investeeringu projektid'!$C$4:$C$96,"Pikaajaline",'Investeeringu projektid'!$A$4:$A$96,B9,'Investeeringu projektid'!$E$4:$E$96,"Maaparandussüsteemi omanik/ maaparandusühistu")</f>
        <v>0</v>
      </c>
    </row>
    <row r="10" spans="1:15" x14ac:dyDescent="0.35">
      <c r="B10" s="15" t="s">
        <v>82</v>
      </c>
      <c r="C10" s="16">
        <f>SUMIFS('Investeeringu projektid'!$M$4:$M$96,'Investeeringu projektid'!$C$4:$C$96,"Lühiajaline",'Investeeringu projektid'!$A$4:$A$96,"Kakumetsa küla",'Investeeringu projektid'!$E$4:$E$96,"Vald")</f>
        <v>0</v>
      </c>
      <c r="D10" s="17">
        <f>SUMIFS('Investeeringu projektid'!$M$4:$M$96,'Investeeringu projektid'!$C$4:$C$96,"Pikaajaline",'Investeeringu projektid'!$A$4:$A$96,"Kakumetsa küla",'Investeeringu projektid'!$E$4:$E$96,"Vald")</f>
        <v>194405</v>
      </c>
      <c r="E10" s="16">
        <f>SUMIFS('Investeeringu projektid'!$M$4:$M$96,'Investeeringu projektid'!$C$4:$C$96,"Lühiajaline",'Investeeringu projektid'!$A$4:$A$96,"Kakumetsa küla",'Investeeringu projektid'!$E$4:$E$96,"Arendaja (liitumistasudest)")</f>
        <v>0</v>
      </c>
      <c r="F10" s="17">
        <f>SUMIFS('Investeeringu projektid'!$M$4:$M$96,'Investeeringu projektid'!$C$4:$C$96,"Pikaajaline",'Investeeringu projektid'!$A$4:$A$96,"Kakumetsa küla",'Investeeringu projektid'!$E$4:$E$96,"Arendaja (liitumistasudest)")</f>
        <v>544381.19999999995</v>
      </c>
      <c r="G10" s="20">
        <f>SUMIFS('Investeeringu projektid'!$M$4:$M$96,'Investeeringu projektid'!$C$4:$C$96,"Lühiajaline",'Investeeringu projektid'!$A$4:$A$96,B10,'Investeeringu projektid'!$E$4:$E$96,"Kinnistute omanikud")+SUMIFS('Investeeringu projektid'!$M$4:$M$96,'Investeeringu projektid'!$C$4:$C$96,"Lühiajaline",'Investeeringu projektid'!$A$4:$A$96,B10,'Investeeringu projektid'!$E$4:$E$96,"Maaparandussüsteemi omanik/ maaparandusühistu")</f>
        <v>0</v>
      </c>
      <c r="H10" s="21">
        <f>SUMIFS('Investeeringu projektid'!$M$4:$M$96,'Investeeringu projektid'!$C$4:$C$96,"Pikaajaline",'Investeeringu projektid'!$A$4:$A$96,B10,'Investeeringu projektid'!$E$4:$E$96,"Kinnistute omanikud")+SUMIFS('Investeeringu projektid'!$M$4:$M$96,'Investeeringu projektid'!$C$4:$C$96,"Pikaajaline",'Investeeringu projektid'!$A$4:$A$96,B10,'Investeeringu projektid'!$E$4:$E$96,"Maaparandussüsteemi omanik/ maaparandusühistu")</f>
        <v>0</v>
      </c>
    </row>
    <row r="11" spans="1:15" x14ac:dyDescent="0.35">
      <c r="B11" s="15" t="s">
        <v>87</v>
      </c>
      <c r="C11" s="16">
        <f>SUMIFS('Investeeringu projektid'!$M$4:$M$96,'Investeeringu projektid'!$C$4:$C$96,"Lühiajaline",'Investeeringu projektid'!$A$4:$A$96,"Pilka küla",'Investeeringu projektid'!$E$4:$E$96,"Vald")</f>
        <v>0</v>
      </c>
      <c r="D11" s="17">
        <f>SUMIFS('Investeeringu projektid'!$M$4:$M$96,'Investeeringu projektid'!$C$4:$C$96,"Pikaajaline",'Investeeringu projektid'!$A$4:$A$96,"Pilka küla",'Investeeringu projektid'!$E$4:$E$96,"Vald")</f>
        <v>0</v>
      </c>
      <c r="E11" s="16">
        <f>SUMIFS('Investeeringu projektid'!$M$4:$M$96,'Investeeringu projektid'!$C$4:$C$96,"Lühiajaline",'Investeeringu projektid'!$A$4:$A$96,"Pilka küla",'Investeeringu projektid'!$E$4:$E$96,"Arendaja (liitumistasudest)")</f>
        <v>0</v>
      </c>
      <c r="F11" s="17">
        <f>SUMIFS('Investeeringu projektid'!$M$4:$M$96,'Investeeringu projektid'!$C$4:$C$96,"Pikaajaline",'Investeeringu projektid'!$A$4:$A$96,"Pilka küla",'Investeeringu projektid'!$E$4:$E$96,"Arendaja (liitumistasudest)")</f>
        <v>535248</v>
      </c>
      <c r="G11" s="20">
        <f>SUMIFS('Investeeringu projektid'!$M$4:$M$96,'Investeeringu projektid'!$C$4:$C$96,"Lühiajaline",'Investeeringu projektid'!$A$4:$A$96,B11,'Investeeringu projektid'!$E$4:$E$96,"Kinnistute omanikud")+SUMIFS('Investeeringu projektid'!$M$4:$M$96,'Investeeringu projektid'!$C$4:$C$96,"Lühiajaline",'Investeeringu projektid'!$A$4:$A$96,B11,'Investeeringu projektid'!$E$4:$E$96,"Maaparandussüsteemi omanik/ maaparandusühistu")</f>
        <v>0</v>
      </c>
      <c r="H11" s="21">
        <f>SUMIFS('Investeeringu projektid'!$M$4:$M$96,'Investeeringu projektid'!$C$4:$C$96,"Pikaajaline",'Investeeringu projektid'!$A$4:$A$96,B11,'Investeeringu projektid'!$E$4:$E$96,"Kinnistute omanikud")+SUMIFS('Investeeringu projektid'!$M$4:$M$96,'Investeeringu projektid'!$C$4:$C$96,"Pikaajaline",'Investeeringu projektid'!$A$4:$A$96,B11,'Investeeringu projektid'!$E$4:$E$96,"Maaparandussüsteemi omanik/ maaparandusühistu")</f>
        <v>0</v>
      </c>
    </row>
    <row r="12" spans="1:15" x14ac:dyDescent="0.35">
      <c r="B12" s="15" t="s">
        <v>90</v>
      </c>
      <c r="C12" s="16">
        <f>SUMIFS('Investeeringu projektid'!$M$4:$M$96,'Investeeringu projektid'!$C$4:$C$96,"Lühiajaline",'Investeeringu projektid'!$A$4:$A$96,B12,'Investeeringu projektid'!$E$4:$E$96,"Vald")</f>
        <v>21712</v>
      </c>
      <c r="D12" s="17">
        <f>SUMIFS('Investeeringu projektid'!$M$4:$M$96,'Investeeringu projektid'!$C$4:$C$96,"Pikaajaline",'Investeeringu projektid'!$A$4:$A$96,B12,'Investeeringu projektid'!$E$4:$E$96,"Vald")</f>
        <v>0</v>
      </c>
      <c r="E12" s="16">
        <f>SUMIFS('Investeeringu projektid'!$M$4:$M$96,'Investeeringu projektid'!$C$4:$C$96,"Lühiajaline",'Investeeringu projektid'!$A$4:$A$96,B12,'Investeeringu projektid'!$E$4:$E$96,"Arendaja (liitumistasudest)")</f>
        <v>0</v>
      </c>
      <c r="F12" s="17">
        <f>SUMIFS('Investeeringu projektid'!$M$4:$M$96,'Investeeringu projektid'!$C$4:$C$96,"Pikaajaline",'Investeeringu projektid'!$A$4:$A$96,B12,'Investeeringu projektid'!$E$4:$E$96,"Arendaja (liitumistasudest)")</f>
        <v>0</v>
      </c>
      <c r="G12" s="20">
        <f>SUMIFS('Investeeringu projektid'!$M$4:$M$96,'Investeeringu projektid'!$C$4:$C$96,"Lühiajaline",'Investeeringu projektid'!$A$4:$A$96,B12,'Investeeringu projektid'!$E$4:$E$96,"Kinnistute omanikud")+SUMIFS('Investeeringu projektid'!$M$4:$M$96,'Investeeringu projektid'!$C$4:$C$96,"Lühiajaline",'Investeeringu projektid'!$A$4:$A$96,B12,'Investeeringu projektid'!$E$4:$E$96,"Maaparandussüsteemi omanik/ maaparandusühistu")</f>
        <v>0</v>
      </c>
      <c r="H12" s="21">
        <f>SUMIFS('Investeeringu projektid'!$M$4:$M$96,'Investeeringu projektid'!$C$4:$C$96,"Pikaajaline",'Investeeringu projektid'!$A$4:$A$96,B12,'Investeeringu projektid'!$E$4:$E$96,"Kinnistute omanikud")+SUMIFS('Investeeringu projektid'!$M$4:$M$96,'Investeeringu projektid'!$C$4:$C$96,"Pikaajaline",'Investeeringu projektid'!$A$4:$A$96,B12,'Investeeringu projektid'!$E$4:$E$96,"Maaparandussüsteemi omanik/ maaparandusühistu")</f>
        <v>0</v>
      </c>
    </row>
    <row r="13" spans="1:15" x14ac:dyDescent="0.35">
      <c r="B13" s="15" t="s">
        <v>76</v>
      </c>
      <c r="C13" s="16">
        <f>SUMIFS('Investeeringu projektid'!$M$4:$M$96,'Investeeringu projektid'!$C$4:$C$96,"Lühiajaline",'Investeeringu projektid'!$A$4:$A$96,"Luunja alevik",'Investeeringu projektid'!$E$4:$E$96,"Vald")+((SUMIFS('Investeeringu projektid'!$M$4:$M$96,'Investeeringu projektid'!$C$4:$C$96,"Lühi- ja pikaajaline",'Investeeringu projektid'!$A$4:$A$96,"Luunja alevik",'Investeeringu projektid'!$E$4:$E$96,"Vald"))/2)</f>
        <v>69935.600000000006</v>
      </c>
      <c r="D13" s="17">
        <f>SUMIFS('Investeeringu projektid'!$M$4:$M$96,'Investeeringu projektid'!$C$4:$C$96,"Pikaajaline",'Investeeringu projektid'!$A$4:$A$96,"Luunja alevik",'Investeeringu projektid'!$E$4:$E$96,"Vald")+((SUMIFS('Investeeringu projektid'!$M$4:$M$96,'Investeeringu projektid'!$C$4:$C$96,"Lühi- ja pikaajaline",'Investeeringu projektid'!$A$4:$A$96,"Luunja alevik",'Investeeringu projektid'!$E$4:$E$96,"Vald"))/2)+((SUMIFS('Investeeringu projektid'!$M$4:$M$96,'Investeeringu projektid'!$C$4:$C$96,"Pikaajaline",'Investeeringu projektid'!$A$4:$A$96,"Luunja alevik",'Investeeringu projektid'!$E$4:$E$96,"Arendaja ja vald 50/50"))/2)</f>
        <v>242246.5</v>
      </c>
      <c r="E13" s="16">
        <f>SUMIFS('Investeeringu projektid'!$M$4:$M$96,'Investeeringu projektid'!$C$4:$C$96,"Lühiajaline",'Investeeringu projektid'!$A$4:$A$96,"Luunja alevik",'Investeeringu projektid'!$E$4:$E$96,"Arendaja (liitumistasudest)")</f>
        <v>0</v>
      </c>
      <c r="F13" s="17">
        <f>SUMIFS('Investeeringu projektid'!$M$4:$M$96,'Investeeringu projektid'!$C$4:$C$96,"Pikaajaline",'Investeeringu projektid'!$A$4:$A$96,"Luunja alevik",'Investeeringu projektid'!$E$4:$E$96,"Arendaja (liitumistasudest)")+((SUMIFS('Investeeringu projektid'!$M$4:$M$96,'Investeeringu projektid'!$C$4:$C$96,"Pikaajaline",'Investeeringu projektid'!$A$4:$A$96,"Luunja alevik",'Investeeringu projektid'!$E$4:$E$96,"Arendaja ja vald 50/50"))/2)</f>
        <v>785374</v>
      </c>
      <c r="G13" s="20">
        <f>SUMIFS('Investeeringu projektid'!$M$4:$M$96,'Investeeringu projektid'!$C$4:$C$96,"Lühiajaline",'Investeeringu projektid'!$A$4:$A$96,B13,'Investeeringu projektid'!$E$4:$E$96,"Kinnistute omanikud")+SUMIFS('Investeeringu projektid'!$M$4:$M$96,'Investeeringu projektid'!$C$4:$C$96,"Lühiajaline",'Investeeringu projektid'!$A$4:$A$96,B13,'Investeeringu projektid'!$E$4:$E$96,"Maaparandussüsteemi omanik/ maaparandusühistu")</f>
        <v>0</v>
      </c>
      <c r="H13" s="21">
        <f>SUMIFS('Investeeringu projektid'!$M$4:$M$96,'Investeeringu projektid'!$C$4:$C$96,"Pikaajaline",'Investeeringu projektid'!$A$4:$A$96,B13,'Investeeringu projektid'!$E$4:$E$96,"Kinnistute omanikud")+SUMIFS('Investeeringu projektid'!$M$4:$M$96,'Investeeringu projektid'!$C$4:$C$96,"Pikaajaline",'Investeeringu projektid'!$A$4:$A$96,B13,'Investeeringu projektid'!$E$4:$E$96,"Maaparandussüsteemi omanik/ maaparandusühistu")</f>
        <v>0</v>
      </c>
    </row>
    <row r="14" spans="1:15" x14ac:dyDescent="0.35">
      <c r="B14" s="15" t="s">
        <v>112</v>
      </c>
      <c r="C14" s="16">
        <f>SUMIFS('Investeeringu projektid'!$M$4:$M$96,'Investeeringu projektid'!$C$4:$C$96,"Lühiajaline",'Investeeringu projektid'!$A$4:$A$96,B14,'Investeeringu projektid'!$E$4:$E$96,"Vald")</f>
        <v>0</v>
      </c>
      <c r="D14" s="17">
        <f>SUMIFS('Investeeringu projektid'!$M$4:$M$96,'Investeeringu projektid'!$C$4:$C$96,"Pikaajaline",'Investeeringu projektid'!$A$4:$A$96,B14,'Investeeringu projektid'!$E$4:$E$96,"Vald")</f>
        <v>0</v>
      </c>
      <c r="E14" s="16">
        <f>SUMIFS('Investeeringu projektid'!$M$4:$M$96,'Investeeringu projektid'!$C$4:$C$96,"Lühiajaline",'Investeeringu projektid'!$A$4:$A$96,B14,'Investeeringu projektid'!$E$4:$E$96,"Arendaja (liitumistasudest)")</f>
        <v>0</v>
      </c>
      <c r="F14" s="17">
        <f>SUMIFS('Investeeringu projektid'!$M$4:$M$96,'Investeeringu projektid'!$C$4:$C$96,"Pikaajaline",'Investeeringu projektid'!$A$4:$A$96,B14,'Investeeringu projektid'!$E$4:$E$96,"Arendaja (liitumistasudest)")</f>
        <v>0</v>
      </c>
      <c r="G14" s="20">
        <f>SUMIFS('Investeeringu projektid'!$M$4:$M$96,'Investeeringu projektid'!$C$4:$C$96,"Lühiajaline",'Investeeringu projektid'!$A$4:$A$96,B14,'Investeeringu projektid'!$E$4:$E$96,"Kinnistute omanikud")+SUMIFS('Investeeringu projektid'!$M$4:$M$96,'Investeeringu projektid'!$C$4:$C$96,"Lühiajaline",'Investeeringu projektid'!$A$4:$A$96,B14,'Investeeringu projektid'!$E$4:$E$96,"Maaparandussüsteemi omanik/ maaparandusühistu")</f>
        <v>0</v>
      </c>
      <c r="H14" s="21">
        <f>SUMIFS('Investeeringu projektid'!$M$4:$M$96,'Investeeringu projektid'!$C$4:$C$96,"Pikaajaline",'Investeeringu projektid'!$A$4:$A$96,B14,'Investeeringu projektid'!$E$4:$E$96,"Kinnistute omanikud")+SUMIFS('Investeeringu projektid'!$M$4:$M$96,'Investeeringu projektid'!$C$4:$C$96,"Pikaajaline",'Investeeringu projektid'!$A$4:$A$96,B14,'Investeeringu projektid'!$E$4:$E$96,"Maaparandussüsteemi omanik/ maaparandusühistu")</f>
        <v>1600</v>
      </c>
    </row>
    <row r="15" spans="1:15" x14ac:dyDescent="0.35">
      <c r="B15" s="15" t="s">
        <v>116</v>
      </c>
      <c r="C15" s="16">
        <f>SUMIFS('Investeeringu projektid'!$M$4:$M$96,'Investeeringu projektid'!$C$4:$C$96,"Lühiajaline",'Investeeringu projektid'!$A$4:$A$96,B15,'Investeeringu projektid'!$E$4:$E$96,"Vald")</f>
        <v>0</v>
      </c>
      <c r="D15" s="17">
        <f>SUMIFS('Investeeringu projektid'!$M$4:$M$96,'Investeeringu projektid'!$C$4:$C$96,"Pikaajaline",'Investeeringu projektid'!$A$4:$A$96,B15,'Investeeringu projektid'!$E$4:$E$96,"Vald")</f>
        <v>0</v>
      </c>
      <c r="E15" s="16">
        <f>SUMIFS('Investeeringu projektid'!$M$4:$M$96,'Investeeringu projektid'!$C$4:$C$96,"Lühiajaline",'Investeeringu projektid'!$A$4:$A$96,B15,'Investeeringu projektid'!$E$4:$E$96,"Arendaja (liitumistasudest)")</f>
        <v>0</v>
      </c>
      <c r="F15" s="17">
        <f>SUMIFS('Investeeringu projektid'!$M$4:$M$96,'Investeeringu projektid'!$C$4:$C$96,"Pikaajaline",'Investeeringu projektid'!$A$4:$A$96,B15,'Investeeringu projektid'!$E$4:$E$96,"Arendaja (liitumistasudest)")</f>
        <v>0</v>
      </c>
      <c r="G15" s="20">
        <f>SUMIFS('Investeeringu projektid'!$M$4:$M$96,'Investeeringu projektid'!$C$4:$C$96,"Lühiajaline",'Investeeringu projektid'!$A$4:$A$96,B15,'Investeeringu projektid'!$E$4:$E$96,"Kinnistute omanikud")+SUMIFS('Investeeringu projektid'!$M$4:$M$96,'Investeeringu projektid'!$C$4:$C$96,"Lühiajaline",'Investeeringu projektid'!$A$4:$A$96,B15,'Investeeringu projektid'!$E$4:$E$96,"Maaparandussüsteemi omanik/ maaparandusühistu")</f>
        <v>0</v>
      </c>
      <c r="H15" s="21">
        <f>SUMIFS('Investeeringu projektid'!$M$4:$M$96,'Investeeringu projektid'!$C$4:$C$96,"Pikaajaline",'Investeeringu projektid'!$A$4:$A$96,B15,'Investeeringu projektid'!$E$4:$E$96,"Kinnistute omanikud")+SUMIFS('Investeeringu projektid'!$M$4:$M$96,'Investeeringu projektid'!$C$4:$C$96,"Pikaajaline",'Investeeringu projektid'!$A$4:$A$96,B15,'Investeeringu projektid'!$E$4:$E$96,"Maaparandussüsteemi omanik/ maaparandusühistu")</f>
        <v>4130</v>
      </c>
    </row>
    <row r="16" spans="1:15" x14ac:dyDescent="0.35">
      <c r="B16" s="15" t="s">
        <v>119</v>
      </c>
      <c r="C16" s="16">
        <f>SUMIFS('Investeeringu projektid'!$M$4:$M$96,'Investeeringu projektid'!$C$4:$C$96,"Lühiajaline",'Investeeringu projektid'!$A$4:$A$96,B16,'Investeeringu projektid'!$E$4:$E$96,"Vald")</f>
        <v>0</v>
      </c>
      <c r="D16" s="17">
        <f>SUMIFS('Investeeringu projektid'!$M$4:$M$96,'Investeeringu projektid'!$C$4:$C$96,"Pikaajaline",'Investeeringu projektid'!$A$4:$A$96,B16,'Investeeringu projektid'!$E$4:$E$96,"Vald")</f>
        <v>4830</v>
      </c>
      <c r="E16" s="16">
        <f>SUMIFS('Investeeringu projektid'!$M$4:$M$96,'Investeeringu projektid'!$C$4:$C$96,"Lühiajaline",'Investeeringu projektid'!$A$4:$A$96,B16,'Investeeringu projektid'!$E$4:$E$96,"Arendaja (liitumistasudest)")</f>
        <v>0</v>
      </c>
      <c r="F16" s="17">
        <f>SUMIFS('Investeeringu projektid'!$M$4:$M$96,'Investeeringu projektid'!$C$4:$C$96,"Pikaajaline",'Investeeringu projektid'!$A$4:$A$96,B16,'Investeeringu projektid'!$E$4:$E$96,"Arendaja (liitumistasudest)")</f>
        <v>0</v>
      </c>
      <c r="G16" s="20">
        <f>SUMIFS('Investeeringu projektid'!$M$4:$M$96,'Investeeringu projektid'!$C$4:$C$96,"Lühiajaline",'Investeeringu projektid'!$A$4:$A$96,B16,'Investeeringu projektid'!$E$4:$E$96,"Kinnistute omanikud")+SUMIFS('Investeeringu projektid'!$M$4:$M$96,'Investeeringu projektid'!$C$4:$C$96,"Lühiajaline",'Investeeringu projektid'!$A$4:$A$96,B16,'Investeeringu projektid'!$E$4:$E$96,"Maaparandussüsteemi omanik/ maaparandusühistu")</f>
        <v>0</v>
      </c>
      <c r="H16" s="21">
        <f>SUMIFS('Investeeringu projektid'!$M$4:$M$96,'Investeeringu projektid'!$C$4:$C$96,"Pikaajaline",'Investeeringu projektid'!$A$4:$A$96,B16,'Investeeringu projektid'!$E$4:$E$96,"Kinnistute omanikud")+SUMIFS('Investeeringu projektid'!$M$4:$M$96,'Investeeringu projektid'!$C$4:$C$96,"Pikaajaline",'Investeeringu projektid'!$A$4:$A$96,B16,'Investeeringu projektid'!$E$4:$E$96,"Maaparandussüsteemi omanik/ maaparandusühistu")</f>
        <v>0</v>
      </c>
    </row>
    <row r="17" spans="2:8" x14ac:dyDescent="0.35">
      <c r="B17" s="15" t="s">
        <v>122</v>
      </c>
      <c r="C17" s="16">
        <f>SUMIFS('Investeeringu projektid'!$M$4:$M$96,'Investeeringu projektid'!$C$4:$C$96,"Lühiajaline",'Investeeringu projektid'!$A$4:$A$96,B17,'Investeeringu projektid'!$E$4:$E$96,"Vald")</f>
        <v>0</v>
      </c>
      <c r="D17" s="17">
        <f>SUMIFS('Investeeringu projektid'!$M$4:$M$96,'Investeeringu projektid'!$C$4:$C$96,"Pikaajaline",'Investeeringu projektid'!$A$4:$A$96,B17,'Investeeringu projektid'!$E$4:$E$96,"Vald")</f>
        <v>0</v>
      </c>
      <c r="E17" s="16">
        <f>SUMIFS('Investeeringu projektid'!$M$4:$M$96,'Investeeringu projektid'!$C$4:$C$96,"Lühiajaline",'Investeeringu projektid'!$A$4:$A$96,B17,'Investeeringu projektid'!$E$4:$E$96,"Arendaja (liitumistasudest)")</f>
        <v>0</v>
      </c>
      <c r="F17" s="17">
        <f>SUMIFS('Investeeringu projektid'!$M$4:$M$96,'Investeeringu projektid'!$C$4:$C$96,"Pikaajaline",'Investeeringu projektid'!$A$4:$A$96,B17,'Investeeringu projektid'!$E$4:$E$96,"Arendaja (liitumistasudest)")</f>
        <v>0</v>
      </c>
      <c r="G17" s="20">
        <f>SUMIFS('Investeeringu projektid'!$M$4:$M$96,'Investeeringu projektid'!$C$4:$C$96,"Lühiajaline",'Investeeringu projektid'!$A$4:$A$96,B17,'Investeeringu projektid'!$E$4:$E$96,"Kinnistute omanikud")+SUMIFS('Investeeringu projektid'!$M$4:$M$96,'Investeeringu projektid'!$C$4:$C$96,"Lühiajaline",'Investeeringu projektid'!$A$4:$A$96,B17,'Investeeringu projektid'!$E$4:$E$96,"Maaparandussüsteemi omanik/ maaparandusühistu")</f>
        <v>0</v>
      </c>
      <c r="H17" s="21">
        <f>SUMIFS('Investeeringu projektid'!$M$4:$M$96,'Investeeringu projektid'!$C$4:$C$96,"Pikaajaline",'Investeeringu projektid'!$A$4:$A$96,B17,'Investeeringu projektid'!$E$4:$E$96,"Kinnistute omanikud")+SUMIFS('Investeeringu projektid'!$M$4:$M$96,'Investeeringu projektid'!$C$4:$C$96,"Pikaajaline",'Investeeringu projektid'!$A$4:$A$96,B17,'Investeeringu projektid'!$E$4:$E$96,"Maaparandussüsteemi omanik/ maaparandusühistu")</f>
        <v>4130</v>
      </c>
    </row>
    <row r="18" spans="2:8" x14ac:dyDescent="0.35">
      <c r="B18" s="15" t="s">
        <v>125</v>
      </c>
      <c r="C18" s="16">
        <f>SUMIFS('Investeeringu projektid'!$M$4:$M$96,'Investeeringu projektid'!$C$4:$C$96,"Lühiajaline",'Investeeringu projektid'!$A$4:$A$96,B18,'Investeeringu projektid'!$E$4:$E$96,"Vald")</f>
        <v>0</v>
      </c>
      <c r="D18" s="17">
        <f>SUMIFS('Investeeringu projektid'!$M$4:$M$96,'Investeeringu projektid'!$C$4:$C$96,"Pikaajaline",'Investeeringu projektid'!$A$4:$A$96,B18,'Investeeringu projektid'!$E$4:$E$96,"Vald")</f>
        <v>4830</v>
      </c>
      <c r="E18" s="16">
        <f>SUMIFS('Investeeringu projektid'!$M$4:$M$96,'Investeeringu projektid'!$C$4:$C$96,"Lühiajaline",'Investeeringu projektid'!$A$4:$A$96,B18,'Investeeringu projektid'!$E$4:$E$96,"Arendaja (liitumistasudest)")</f>
        <v>0</v>
      </c>
      <c r="F18" s="17">
        <f>SUMIFS('Investeeringu projektid'!$M$4:$M$96,'Investeeringu projektid'!$C$4:$C$96,"Pikaajaline",'Investeeringu projektid'!$A$4:$A$96,B18,'Investeeringu projektid'!$E$4:$E$96,"Arendaja (liitumistasudest)")</f>
        <v>0</v>
      </c>
      <c r="G18" s="20">
        <f>SUMIFS('Investeeringu projektid'!$M$4:$M$96,'Investeeringu projektid'!$C$4:$C$96,"Lühiajaline",'Investeeringu projektid'!$A$4:$A$96,B18,'Investeeringu projektid'!$E$4:$E$96,"Kinnistute omanikud")+SUMIFS('Investeeringu projektid'!$M$4:$M$96,'Investeeringu projektid'!$C$4:$C$96,"Lühiajaline",'Investeeringu projektid'!$A$4:$A$96,B18,'Investeeringu projektid'!$E$4:$E$96,"Maaparandussüsteemi omanik/ maaparandusühistu")</f>
        <v>0</v>
      </c>
      <c r="H18" s="21">
        <f>SUMIFS('Investeeringu projektid'!$M$4:$M$96,'Investeeringu projektid'!$C$4:$C$96,"Pikaajaline",'Investeeringu projektid'!$A$4:$A$96,B18,'Investeeringu projektid'!$E$4:$E$96,"Kinnistute omanikud")+SUMIFS('Investeeringu projektid'!$M$4:$M$96,'Investeeringu projektid'!$C$4:$C$96,"Pikaajaline",'Investeeringu projektid'!$A$4:$A$96,B18,'Investeeringu projektid'!$E$4:$E$96,"Maaparandussüsteemi omanik/ maaparandusühistu")</f>
        <v>5030</v>
      </c>
    </row>
    <row r="19" spans="2:8" x14ac:dyDescent="0.35">
      <c r="B19" s="15" t="s">
        <v>137</v>
      </c>
      <c r="C19" s="16">
        <f>SUMIFS('Investeeringu projektid'!$M$4:$M$96,'Investeeringu projektid'!$C$4:$C$96,"Lühiajaline",'Investeeringu projektid'!$A$4:$A$96,B19,'Investeeringu projektid'!$E$4:$E$96,"Vald")</f>
        <v>0</v>
      </c>
      <c r="D19" s="17">
        <f>SUMIFS('Investeeringu projektid'!$M$4:$M$96,'Investeeringu projektid'!$C$4:$C$96,"Pikaajaline",'Investeeringu projektid'!$A$4:$A$96,B19,'Investeeringu projektid'!$E$4:$E$96,"Vald")</f>
        <v>0</v>
      </c>
      <c r="E19" s="16">
        <f>SUMIFS('Investeeringu projektid'!$M$4:$M$96,'Investeeringu projektid'!$C$4:$C$96,"Lühiajaline",'Investeeringu projektid'!$A$4:$A$96,B19,'Investeeringu projektid'!$E$4:$E$96,"Arendaja (liitumistasudest)")</f>
        <v>0</v>
      </c>
      <c r="F19" s="17">
        <f>SUMIFS('Investeeringu projektid'!$M$4:$M$96,'Investeeringu projektid'!$C$4:$C$96,"Pikaajaline",'Investeeringu projektid'!$A$4:$A$96,B19,'Investeeringu projektid'!$E$4:$E$96,"Arendaja (liitumistasudest)")</f>
        <v>0</v>
      </c>
      <c r="G19" s="20">
        <f>SUMIFS('Investeeringu projektid'!$M$4:$M$96,'Investeeringu projektid'!$C$4:$C$96,"Lühiajaline",'Investeeringu projektid'!$A$4:$A$96,B19,'Investeeringu projektid'!$E$4:$E$96,"Kinnistute omanikud")+SUMIFS('Investeeringu projektid'!$M$4:$M$96,'Investeeringu projektid'!$C$4:$C$96,"Lühiajaline",'Investeeringu projektid'!$A$4:$A$96,B19,'Investeeringu projektid'!$E$4:$E$96,"Maaparandussüsteemi omanik/ maaparandusühistu")</f>
        <v>0</v>
      </c>
      <c r="H19" s="21">
        <f>SUMIFS('Investeeringu projektid'!$M$4:$M$96,'Investeeringu projektid'!$C$4:$C$96,"Pikaajaline",'Investeeringu projektid'!$A$4:$A$96,B19,'Investeeringu projektid'!$E$4:$E$96,"Kinnistute omanikud")+SUMIFS('Investeeringu projektid'!$M$4:$M$96,'Investeeringu projektid'!$C$4:$C$96,"Pikaajaline",'Investeeringu projektid'!$A$4:$A$96,B19,'Investeeringu projektid'!$E$4:$E$96,"Maaparandussüsteemi omanik/ maaparandusühistu")</f>
        <v>900</v>
      </c>
    </row>
    <row r="20" spans="2:8" x14ac:dyDescent="0.35">
      <c r="B20" s="15" t="s">
        <v>140</v>
      </c>
      <c r="C20" s="16">
        <f>SUMIFS('Investeeringu projektid'!$M$4:$M$96,'Investeeringu projektid'!$C$4:$C$96,"Lühiajaline",'Investeeringu projektid'!$A$4:$A$96,B20,'Investeeringu projektid'!$E$4:$E$96,"Vald")</f>
        <v>0</v>
      </c>
      <c r="D20" s="17">
        <f>SUMIFS('Investeeringu projektid'!$M$4:$M$96,'Investeeringu projektid'!$C$4:$C$96,"Pikaajaline",'Investeeringu projektid'!$A$4:$A$96,B20,'Investeeringu projektid'!$E$4:$E$96,"Vald")</f>
        <v>0</v>
      </c>
      <c r="E20" s="16">
        <f>SUMIFS('Investeeringu projektid'!$M$4:$M$96,'Investeeringu projektid'!$C$4:$C$96,"Lühiajaline",'Investeeringu projektid'!$A$4:$A$96,B20,'Investeeringu projektid'!$E$4:$E$96,"Arendaja (liitumistasudest)")</f>
        <v>0</v>
      </c>
      <c r="F20" s="17">
        <f>SUMIFS('Investeeringu projektid'!$M$4:$M$96,'Investeeringu projektid'!$C$4:$C$96,"Pikaajaline",'Investeeringu projektid'!$A$4:$A$96,B20,'Investeeringu projektid'!$E$4:$E$96,"Arendaja (liitumistasudest)")</f>
        <v>0</v>
      </c>
      <c r="G20" s="20">
        <f>SUMIFS('Investeeringu projektid'!$M$4:$M$96,'Investeeringu projektid'!$C$4:$C$96,"Lühiajaline",'Investeeringu projektid'!$A$4:$A$96,B20,'Investeeringu projektid'!$E$4:$E$96,"Kinnistute omanikud")+SUMIFS('Investeeringu projektid'!$M$4:$M$96,'Investeeringu projektid'!$C$4:$C$96,"Lühiajaline",'Investeeringu projektid'!$A$4:$A$96,B20,'Investeeringu projektid'!$E$4:$E$96,"Maaparandussüsteemi omanik/ maaparandusühistu")</f>
        <v>0</v>
      </c>
      <c r="H20" s="21">
        <f>SUMIFS('Investeeringu projektid'!$M$4:$M$96,'Investeeringu projektid'!$C$4:$C$96,"Pikaajaline",'Investeeringu projektid'!$A$4:$A$96,B20,'Investeeringu projektid'!$E$4:$E$96,"Kinnistute omanikud")+SUMIFS('Investeeringu projektid'!$M$4:$M$96,'Investeeringu projektid'!$C$4:$C$96,"Pikaajaline",'Investeeringu projektid'!$A$4:$A$96,B20,'Investeeringu projektid'!$E$4:$E$96,"Maaparandussüsteemi omanik/ maaparandusühistu")</f>
        <v>900</v>
      </c>
    </row>
    <row r="21" spans="2:8" x14ac:dyDescent="0.35">
      <c r="B21" s="15" t="s">
        <v>146</v>
      </c>
      <c r="C21" s="16">
        <f>SUMIFS('Investeeringu projektid'!$M$4:$M$96,'Investeeringu projektid'!$C$4:$C$96,"Lühiajaline",'Investeeringu projektid'!$A$4:$A$96,B21,'Investeeringu projektid'!$E$4:$E$96,"Vald")</f>
        <v>0</v>
      </c>
      <c r="D21" s="17">
        <f>SUMIFS('Investeeringu projektid'!$M$4:$M$96,'Investeeringu projektid'!$C$4:$C$96,"Pikaajaline",'Investeeringu projektid'!$A$4:$A$96,B21,'Investeeringu projektid'!$E$4:$E$96,"Vald")</f>
        <v>0</v>
      </c>
      <c r="E21" s="16">
        <f>SUMIFS('Investeeringu projektid'!$M$4:$M$96,'Investeeringu projektid'!$C$4:$C$96,"Lühiajaline",'Investeeringu projektid'!$A$4:$A$96,B21,'Investeeringu projektid'!$E$4:$E$96,"Arendaja (liitumistasudest)")</f>
        <v>0</v>
      </c>
      <c r="F21" s="17">
        <f>SUMIFS('Investeeringu projektid'!$M$4:$M$96,'Investeeringu projektid'!$C$4:$C$96,"Pikaajaline",'Investeeringu projektid'!$A$4:$A$96,B21,'Investeeringu projektid'!$E$4:$E$96,"Arendaja (liitumistasudest)")</f>
        <v>0</v>
      </c>
      <c r="G21" s="20">
        <f>SUMIFS('Investeeringu projektid'!$M$4:$M$96,'Investeeringu projektid'!$C$4:$C$96,"Lühiajaline",'Investeeringu projektid'!$A$4:$A$96,B21,'Investeeringu projektid'!$E$4:$E$96,"Kinnistute omanikud")+SUMIFS('Investeeringu projektid'!$M$4:$M$96,'Investeeringu projektid'!$C$4:$C$96,"Lühiajaline",'Investeeringu projektid'!$A$4:$A$96,B21,'Investeeringu projektid'!$E$4:$E$96,"Maaparandussüsteemi omanik/ maaparandusühistu")</f>
        <v>0</v>
      </c>
      <c r="H21" s="21">
        <f>SUMIFS('Investeeringu projektid'!$M$4:$M$96,'Investeeringu projektid'!$C$4:$C$96,"Pikaajaline",'Investeeringu projektid'!$A$4:$A$96,B21,'Investeeringu projektid'!$E$4:$E$96,"Kinnistute omanikud")+SUMIFS('Investeeringu projektid'!$M$4:$M$96,'Investeeringu projektid'!$C$4:$C$96,"Pikaajaline",'Investeeringu projektid'!$A$4:$A$96,B21,'Investeeringu projektid'!$E$4:$E$96,"Maaparandussüsteemi omanik/ maaparandusühistu")</f>
        <v>4130</v>
      </c>
    </row>
    <row r="22" spans="2:8" x14ac:dyDescent="0.35">
      <c r="B22" s="15" t="s">
        <v>149</v>
      </c>
      <c r="C22" s="16">
        <f>SUMIFS('Investeeringu projektid'!$M$4:$M$96,'Investeeringu projektid'!$C$4:$C$96,"Lühiajaline",'Investeeringu projektid'!$A$4:$A$96,B22,'Investeeringu projektid'!$E$4:$E$96,"Vald")</f>
        <v>0</v>
      </c>
      <c r="D22" s="17">
        <f>SUMIFS('Investeeringu projektid'!$M$4:$M$96,'Investeeringu projektid'!$C$4:$C$96,"Pikaajaline",'Investeeringu projektid'!$A$4:$A$96,B22,'Investeeringu projektid'!$E$4:$E$96,"Vald")</f>
        <v>0</v>
      </c>
      <c r="E22" s="16">
        <f>SUMIFS('Investeeringu projektid'!$M$4:$M$96,'Investeeringu projektid'!$C$4:$C$96,"Lühiajaline",'Investeeringu projektid'!$A$4:$A$96,B22,'Investeeringu projektid'!$E$4:$E$96,"Arendaja (liitumistasudest)")</f>
        <v>0</v>
      </c>
      <c r="F22" s="17">
        <f>SUMIFS('Investeeringu projektid'!$M$4:$M$96,'Investeeringu projektid'!$C$4:$C$96,"Pikaajaline",'Investeeringu projektid'!$A$4:$A$96,B22,'Investeeringu projektid'!$E$4:$E$96,"Arendaja (liitumistasudest)")</f>
        <v>0</v>
      </c>
      <c r="G22" s="20">
        <f>SUMIFS('Investeeringu projektid'!$M$4:$M$96,'Investeeringu projektid'!$C$4:$C$96,"Lühiajaline",'Investeeringu projektid'!$A$4:$A$96,B22,'Investeeringu projektid'!$E$4:$E$96,"Kinnistute omanikud")+SUMIFS('Investeeringu projektid'!$M$4:$M$96,'Investeeringu projektid'!$C$4:$C$96,"Lühiajaline",'Investeeringu projektid'!$A$4:$A$96,B22,'Investeeringu projektid'!$E$4:$E$96,"Maaparandussüsteemi omanik/ maaparandusühistu")</f>
        <v>0</v>
      </c>
      <c r="H22" s="21">
        <f>SUMIFS('Investeeringu projektid'!$M$4:$M$96,'Investeeringu projektid'!$C$4:$C$96,"Pikaajaline",'Investeeringu projektid'!$A$4:$A$96,B22,'Investeeringu projektid'!$E$4:$E$96,"Kinnistute omanikud")+SUMIFS('Investeeringu projektid'!$M$4:$M$96,'Investeeringu projektid'!$C$4:$C$96,"Pikaajaline",'Investeeringu projektid'!$A$4:$A$96,B22,'Investeeringu projektid'!$E$4:$E$96,"Maaparandussüsteemi omanik/ maaparandusühistu")</f>
        <v>900</v>
      </c>
    </row>
    <row r="23" spans="2:8" x14ac:dyDescent="0.35">
      <c r="B23" s="15" t="s">
        <v>96</v>
      </c>
      <c r="C23" s="16">
        <f>SUMIFS('Investeeringu projektid'!$M$4:$M$96,'Investeeringu projektid'!$C$4:$C$96,"Lühiajaline",'Investeeringu projektid'!$A$4:$A$96,"Kogu vald",'Investeeringu projektid'!$E$4:$E$96,"Vald")</f>
        <v>85336</v>
      </c>
      <c r="D23" s="17">
        <f>SUMIFS('Investeeringu projektid'!$M$4:$M$96,'Investeeringu projektid'!$C$4:$C$96,"Pikaajaline",'Investeeringu projektid'!$A$4:$A$96,"Kogu vald",'Investeeringu projektid'!$E$4:$E$96,"Vald")</f>
        <v>293510</v>
      </c>
      <c r="E23" s="16">
        <f>SUMIFS('Investeeringu projektid'!$M$4:$M$96,'Investeeringu projektid'!$C$4:$C$96,"Lühiajaline",'Investeeringu projektid'!$A$4:$A$96,B23,'Investeeringu projektid'!$E$4:$E$96,"Arendaja (liitumistasudest)")</f>
        <v>0</v>
      </c>
      <c r="F23" s="17">
        <f>SUMIFS('Investeeringu projektid'!$M$4:$M$96,'Investeeringu projektid'!$C$4:$C$96,"Pikaajaline",'Investeeringu projektid'!$A$4:$A$96,B23,'Investeeringu projektid'!$E$4:$E$96,"Arendaja (liitumistasudest)")</f>
        <v>0</v>
      </c>
      <c r="G23" s="20">
        <f>SUMIFS('Investeeringu projektid'!$M$4:$M$96,'Investeeringu projektid'!$C$4:$C$96,"Lühiajaline",'Investeeringu projektid'!$A$4:$A$96,B23,'Investeeringu projektid'!$E$4:$E$96,"Kinnistute omanikud")+SUMIFS('Investeeringu projektid'!$M$4:$M$96,'Investeeringu projektid'!$C$4:$C$96,"Lühiajaline",'Investeeringu projektid'!$A$4:$A$96,B23,'Investeeringu projektid'!$E$4:$E$96,"Maaparandussüsteemi omanik/ maaparandusühistu")</f>
        <v>0</v>
      </c>
      <c r="H23" s="21">
        <f>SUMIFS('Investeeringu projektid'!$M$4:$M$96,'Investeeringu projektid'!$C$4:$C$96,"Pikaajaline",'Investeeringu projektid'!$A$4:$A$96,B23,'Investeeringu projektid'!$E$4:$E$96,"Kinnistute omanikud")+SUMIFS('Investeeringu projektid'!$M$4:$M$96,'Investeeringu projektid'!$C$4:$C$96,"Pikaajaline",'Investeeringu projektid'!$A$4:$A$96,B23,'Investeeringu projektid'!$E$4:$E$96,"Maaparandussüsteemi omanik/ maaparandusühistu")</f>
        <v>0</v>
      </c>
    </row>
    <row r="24" spans="2:8" ht="15" thickBot="1" x14ac:dyDescent="0.4">
      <c r="B24" s="14" t="s">
        <v>109</v>
      </c>
      <c r="C24" s="18">
        <f>SUM(C4:C23)</f>
        <v>607272.4</v>
      </c>
      <c r="D24" s="19">
        <f t="shared" ref="D24:H24" si="0">SUM(D4:D23)</f>
        <v>2265118.06</v>
      </c>
      <c r="E24" s="18">
        <f t="shared" si="0"/>
        <v>248124.5</v>
      </c>
      <c r="F24" s="19">
        <f t="shared" si="0"/>
        <v>6168555.4000000004</v>
      </c>
      <c r="G24" s="18">
        <f t="shared" si="0"/>
        <v>473260</v>
      </c>
      <c r="H24" s="19">
        <f t="shared" si="0"/>
        <v>25850</v>
      </c>
    </row>
  </sheetData>
  <mergeCells count="4">
    <mergeCell ref="C2:D2"/>
    <mergeCell ref="E2:F2"/>
    <mergeCell ref="G2:H2"/>
    <mergeCell ref="B2:B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B5215-E6E4-4B05-876B-FC22966FC9AA}">
  <sheetPr>
    <pageSetUpPr fitToPage="1"/>
  </sheetPr>
  <dimension ref="A1:U97"/>
  <sheetViews>
    <sheetView zoomScale="70" zoomScaleNormal="70" zoomScalePageLayoutView="85" workbookViewId="0">
      <selection activeCell="O5" sqref="O5"/>
    </sheetView>
  </sheetViews>
  <sheetFormatPr defaultColWidth="8.90625" defaultRowHeight="14.5" x14ac:dyDescent="0.35"/>
  <cols>
    <col min="1" max="1" width="14.453125" style="23" customWidth="1"/>
    <col min="2" max="2" width="23.08984375" style="23" customWidth="1"/>
    <col min="3" max="3" width="19.81640625" style="23" bestFit="1" customWidth="1"/>
    <col min="4" max="4" width="19.81640625" style="24" customWidth="1"/>
    <col min="5" max="5" width="29.1796875" style="23" bestFit="1" customWidth="1"/>
    <col min="6" max="6" width="64.81640625" style="23" customWidth="1"/>
    <col min="7" max="7" width="12.6328125" style="23" customWidth="1"/>
    <col min="8" max="8" width="8.90625" style="23" customWidth="1"/>
    <col min="9" max="9" width="15" style="23" customWidth="1"/>
    <col min="10" max="10" width="15.08984375" style="23" customWidth="1"/>
    <col min="11" max="11" width="14.54296875" style="23" bestFit="1" customWidth="1"/>
    <col min="12" max="12" width="18" style="23" bestFit="1" customWidth="1"/>
    <col min="13" max="13" width="15.08984375" style="23" customWidth="1"/>
    <col min="14" max="14" width="64.1796875" style="23" customWidth="1"/>
    <col min="15" max="15" width="29.453125" style="23" customWidth="1"/>
    <col min="16" max="16" width="18.90625" style="23" bestFit="1" customWidth="1"/>
    <col min="17" max="17" width="10" style="23" bestFit="1" customWidth="1"/>
    <col min="18" max="18" width="68.08984375" style="23" customWidth="1"/>
    <col min="19" max="20" width="8.90625" style="23"/>
    <col min="21" max="21" width="12.6328125" style="23" bestFit="1" customWidth="1"/>
    <col min="22" max="16384" width="8.90625" style="23"/>
  </cols>
  <sheetData>
    <row r="1" spans="1:17" ht="23.5" x14ac:dyDescent="0.55000000000000004">
      <c r="A1" s="47" t="s">
        <v>9</v>
      </c>
      <c r="B1" s="48"/>
      <c r="C1" s="48"/>
    </row>
    <row r="3" spans="1:17" x14ac:dyDescent="0.35">
      <c r="A3" s="27" t="s">
        <v>10</v>
      </c>
      <c r="B3" s="27" t="s">
        <v>11</v>
      </c>
      <c r="C3" s="27" t="s">
        <v>12</v>
      </c>
      <c r="D3" s="28" t="s">
        <v>20</v>
      </c>
      <c r="E3" s="27" t="s">
        <v>22</v>
      </c>
      <c r="F3" s="27" t="s">
        <v>13</v>
      </c>
      <c r="G3" s="27" t="s">
        <v>14</v>
      </c>
      <c r="H3" s="27" t="s">
        <v>3</v>
      </c>
      <c r="I3" s="29" t="s">
        <v>2</v>
      </c>
      <c r="J3" s="29" t="s">
        <v>15</v>
      </c>
      <c r="K3" s="29" t="s">
        <v>257</v>
      </c>
      <c r="L3" s="29" t="s">
        <v>258</v>
      </c>
      <c r="M3" s="29" t="s">
        <v>109</v>
      </c>
      <c r="N3" s="27" t="s">
        <v>16</v>
      </c>
      <c r="O3" s="27" t="s">
        <v>34</v>
      </c>
      <c r="P3" s="27" t="s">
        <v>97</v>
      </c>
      <c r="Q3" s="30"/>
    </row>
    <row r="4" spans="1:17" ht="43.5" x14ac:dyDescent="0.35">
      <c r="A4" s="31" t="s">
        <v>33</v>
      </c>
      <c r="B4" s="31" t="s">
        <v>261</v>
      </c>
      <c r="C4" s="31" t="s">
        <v>19</v>
      </c>
      <c r="D4" s="32" t="s">
        <v>99</v>
      </c>
      <c r="E4" s="33" t="s">
        <v>168</v>
      </c>
      <c r="F4" s="33" t="s">
        <v>167</v>
      </c>
      <c r="G4" s="34">
        <v>1</v>
      </c>
      <c r="H4" s="31" t="s">
        <v>5</v>
      </c>
      <c r="I4" s="34">
        <f>Ühikhinnad!B18</f>
        <v>700</v>
      </c>
      <c r="J4" s="34">
        <f t="shared" ref="J4:J35" si="0">G4*I4</f>
        <v>700</v>
      </c>
      <c r="K4" s="34"/>
      <c r="L4" s="34"/>
      <c r="M4" s="34">
        <f t="shared" ref="M4:M35" si="1">SUM(J4:L4)</f>
        <v>700</v>
      </c>
      <c r="N4" s="33" t="s">
        <v>225</v>
      </c>
      <c r="O4" s="31" t="s">
        <v>100</v>
      </c>
      <c r="P4" s="31"/>
      <c r="Q4" s="30"/>
    </row>
    <row r="5" spans="1:17" ht="101.5" x14ac:dyDescent="0.35">
      <c r="A5" s="31" t="s">
        <v>33</v>
      </c>
      <c r="B5" s="31" t="s">
        <v>261</v>
      </c>
      <c r="C5" s="31" t="s">
        <v>78</v>
      </c>
      <c r="D5" s="32" t="s">
        <v>98</v>
      </c>
      <c r="E5" s="33" t="s">
        <v>153</v>
      </c>
      <c r="F5" s="33" t="s">
        <v>94</v>
      </c>
      <c r="G5" s="34">
        <v>1</v>
      </c>
      <c r="H5" s="31" t="s">
        <v>5</v>
      </c>
      <c r="I5" s="34">
        <f>Ühikhinnad!B17</f>
        <v>900</v>
      </c>
      <c r="J5" s="34">
        <f t="shared" si="0"/>
        <v>900</v>
      </c>
      <c r="K5" s="34"/>
      <c r="L5" s="34"/>
      <c r="M5" s="34">
        <f t="shared" si="1"/>
        <v>900</v>
      </c>
      <c r="N5" s="33" t="s">
        <v>221</v>
      </c>
      <c r="O5" s="31" t="s">
        <v>75</v>
      </c>
      <c r="P5" s="31"/>
      <c r="Q5" s="30"/>
    </row>
    <row r="6" spans="1:17" ht="29" x14ac:dyDescent="0.35">
      <c r="A6" s="31" t="s">
        <v>33</v>
      </c>
      <c r="B6" s="31" t="s">
        <v>18</v>
      </c>
      <c r="C6" s="31" t="s">
        <v>78</v>
      </c>
      <c r="D6" s="32" t="s">
        <v>37</v>
      </c>
      <c r="E6" s="31" t="s">
        <v>21</v>
      </c>
      <c r="F6" s="33" t="s">
        <v>206</v>
      </c>
      <c r="G6" s="34">
        <v>2503</v>
      </c>
      <c r="H6" s="31" t="s">
        <v>4</v>
      </c>
      <c r="I6" s="35">
        <f>Ühikhinnad!B4</f>
        <v>250</v>
      </c>
      <c r="J6" s="35">
        <f t="shared" si="0"/>
        <v>625750</v>
      </c>
      <c r="K6" s="35">
        <f t="shared" ref="K6:K20" si="2">J6*0.12</f>
        <v>75090</v>
      </c>
      <c r="L6" s="35">
        <f t="shared" ref="L6:L20" si="3">J6*0.06</f>
        <v>37545</v>
      </c>
      <c r="M6" s="34">
        <f t="shared" si="1"/>
        <v>738385</v>
      </c>
      <c r="N6" s="31" t="s">
        <v>45</v>
      </c>
      <c r="O6" s="31" t="s">
        <v>43</v>
      </c>
      <c r="P6" s="31"/>
      <c r="Q6" s="30"/>
    </row>
    <row r="7" spans="1:17" ht="29" x14ac:dyDescent="0.35">
      <c r="A7" s="31" t="s">
        <v>33</v>
      </c>
      <c r="B7" s="31" t="s">
        <v>18</v>
      </c>
      <c r="C7" s="31" t="s">
        <v>78</v>
      </c>
      <c r="D7" s="32" t="s">
        <v>98</v>
      </c>
      <c r="E7" s="31" t="s">
        <v>211</v>
      </c>
      <c r="F7" s="33" t="s">
        <v>44</v>
      </c>
      <c r="G7" s="34">
        <v>174</v>
      </c>
      <c r="H7" s="31" t="s">
        <v>4</v>
      </c>
      <c r="I7" s="35">
        <f>Ühikhinnad!B4</f>
        <v>250</v>
      </c>
      <c r="J7" s="35">
        <f t="shared" si="0"/>
        <v>43500</v>
      </c>
      <c r="K7" s="35">
        <f t="shared" si="2"/>
        <v>5220</v>
      </c>
      <c r="L7" s="35">
        <f t="shared" si="3"/>
        <v>2610</v>
      </c>
      <c r="M7" s="34">
        <f t="shared" si="1"/>
        <v>51330</v>
      </c>
      <c r="N7" s="31"/>
      <c r="O7" s="31" t="s">
        <v>43</v>
      </c>
      <c r="P7" s="31"/>
      <c r="Q7" s="30"/>
    </row>
    <row r="8" spans="1:17" ht="43.5" x14ac:dyDescent="0.35">
      <c r="A8" s="31" t="s">
        <v>33</v>
      </c>
      <c r="B8" s="31" t="s">
        <v>18</v>
      </c>
      <c r="C8" s="31" t="s">
        <v>78</v>
      </c>
      <c r="D8" s="32" t="s">
        <v>98</v>
      </c>
      <c r="E8" s="31" t="s">
        <v>211</v>
      </c>
      <c r="F8" s="33" t="s">
        <v>41</v>
      </c>
      <c r="G8" s="34">
        <v>814</v>
      </c>
      <c r="H8" s="31" t="s">
        <v>4</v>
      </c>
      <c r="I8" s="35">
        <f>Ühikhinnad!B5</f>
        <v>190</v>
      </c>
      <c r="J8" s="35">
        <f t="shared" si="0"/>
        <v>154660</v>
      </c>
      <c r="K8" s="35">
        <f t="shared" si="2"/>
        <v>18559.2</v>
      </c>
      <c r="L8" s="35">
        <f t="shared" si="3"/>
        <v>9279.6</v>
      </c>
      <c r="M8" s="34">
        <f t="shared" si="1"/>
        <v>182498.80000000002</v>
      </c>
      <c r="N8" s="33" t="s">
        <v>205</v>
      </c>
      <c r="O8" s="31" t="s">
        <v>42</v>
      </c>
      <c r="P8" s="31"/>
      <c r="Q8" s="30"/>
    </row>
    <row r="9" spans="1:17" ht="29" x14ac:dyDescent="0.35">
      <c r="A9" s="31" t="s">
        <v>33</v>
      </c>
      <c r="B9" s="31" t="s">
        <v>18</v>
      </c>
      <c r="C9" s="31" t="s">
        <v>78</v>
      </c>
      <c r="D9" s="32" t="s">
        <v>98</v>
      </c>
      <c r="E9" s="31" t="s">
        <v>211</v>
      </c>
      <c r="F9" s="33" t="s">
        <v>243</v>
      </c>
      <c r="G9" s="34">
        <v>150</v>
      </c>
      <c r="H9" s="31" t="s">
        <v>4</v>
      </c>
      <c r="I9" s="35">
        <f>Ühikhinnad!B5</f>
        <v>190</v>
      </c>
      <c r="J9" s="35">
        <f t="shared" si="0"/>
        <v>28500</v>
      </c>
      <c r="K9" s="35">
        <f t="shared" si="2"/>
        <v>3420</v>
      </c>
      <c r="L9" s="35">
        <f t="shared" si="3"/>
        <v>1710</v>
      </c>
      <c r="M9" s="34">
        <f t="shared" si="1"/>
        <v>33630</v>
      </c>
      <c r="N9" s="33"/>
      <c r="O9" s="31" t="s">
        <v>244</v>
      </c>
      <c r="P9" s="31"/>
      <c r="Q9" s="30"/>
    </row>
    <row r="10" spans="1:17" x14ac:dyDescent="0.35">
      <c r="A10" s="31" t="s">
        <v>33</v>
      </c>
      <c r="B10" s="31" t="s">
        <v>18</v>
      </c>
      <c r="C10" s="31" t="s">
        <v>78</v>
      </c>
      <c r="D10" s="32" t="s">
        <v>37</v>
      </c>
      <c r="E10" s="31" t="s">
        <v>21</v>
      </c>
      <c r="F10" s="33" t="s">
        <v>39</v>
      </c>
      <c r="G10" s="34">
        <f>271+168</f>
        <v>439</v>
      </c>
      <c r="H10" s="31" t="s">
        <v>4</v>
      </c>
      <c r="I10" s="35">
        <f>Ühikhinnad!B4</f>
        <v>250</v>
      </c>
      <c r="J10" s="35">
        <f t="shared" si="0"/>
        <v>109750</v>
      </c>
      <c r="K10" s="35">
        <f t="shared" si="2"/>
        <v>13170</v>
      </c>
      <c r="L10" s="35">
        <f t="shared" si="3"/>
        <v>6585</v>
      </c>
      <c r="M10" s="34">
        <f t="shared" si="1"/>
        <v>129505</v>
      </c>
      <c r="N10" s="31" t="s">
        <v>45</v>
      </c>
      <c r="O10" s="31" t="s">
        <v>38</v>
      </c>
      <c r="P10" s="31"/>
      <c r="Q10" s="30"/>
    </row>
    <row r="11" spans="1:17" x14ac:dyDescent="0.35">
      <c r="A11" s="31" t="s">
        <v>33</v>
      </c>
      <c r="B11" s="31" t="s">
        <v>8</v>
      </c>
      <c r="C11" s="31" t="s">
        <v>78</v>
      </c>
      <c r="D11" s="32" t="s">
        <v>37</v>
      </c>
      <c r="E11" s="31" t="s">
        <v>21</v>
      </c>
      <c r="F11" s="33" t="s">
        <v>40</v>
      </c>
      <c r="G11" s="34">
        <v>178</v>
      </c>
      <c r="H11" s="31" t="s">
        <v>4</v>
      </c>
      <c r="I11" s="35">
        <f>Ühikhinnad!B15</f>
        <v>160</v>
      </c>
      <c r="J11" s="35">
        <f t="shared" si="0"/>
        <v>28480</v>
      </c>
      <c r="K11" s="35">
        <f t="shared" si="2"/>
        <v>3417.6</v>
      </c>
      <c r="L11" s="35">
        <f t="shared" si="3"/>
        <v>1708.8</v>
      </c>
      <c r="M11" s="34">
        <f t="shared" si="1"/>
        <v>33606.400000000001</v>
      </c>
      <c r="N11" s="31" t="s">
        <v>247</v>
      </c>
      <c r="O11" s="31" t="s">
        <v>38</v>
      </c>
      <c r="P11" s="31"/>
      <c r="Q11" s="30"/>
    </row>
    <row r="12" spans="1:17" ht="29" x14ac:dyDescent="0.35">
      <c r="A12" s="31" t="s">
        <v>33</v>
      </c>
      <c r="B12" s="31" t="s">
        <v>261</v>
      </c>
      <c r="C12" s="31" t="s">
        <v>78</v>
      </c>
      <c r="D12" s="32" t="s">
        <v>98</v>
      </c>
      <c r="E12" s="33" t="s">
        <v>168</v>
      </c>
      <c r="F12" s="33" t="s">
        <v>170</v>
      </c>
      <c r="G12" s="34">
        <v>1</v>
      </c>
      <c r="H12" s="31" t="s">
        <v>5</v>
      </c>
      <c r="I12" s="34">
        <f>Ühikhinnad!B20</f>
        <v>3500</v>
      </c>
      <c r="J12" s="34">
        <f t="shared" si="0"/>
        <v>3500</v>
      </c>
      <c r="K12" s="35">
        <f t="shared" si="2"/>
        <v>420</v>
      </c>
      <c r="L12" s="35">
        <f t="shared" si="3"/>
        <v>210</v>
      </c>
      <c r="M12" s="34">
        <f t="shared" si="1"/>
        <v>4130</v>
      </c>
      <c r="N12" s="33" t="s">
        <v>239</v>
      </c>
      <c r="O12" s="31" t="s">
        <v>100</v>
      </c>
      <c r="P12" s="31"/>
      <c r="Q12" s="30"/>
    </row>
    <row r="13" spans="1:17" ht="145" x14ac:dyDescent="0.35">
      <c r="A13" s="31" t="s">
        <v>33</v>
      </c>
      <c r="B13" s="31" t="s">
        <v>260</v>
      </c>
      <c r="C13" s="31" t="s">
        <v>78</v>
      </c>
      <c r="D13" s="32" t="s">
        <v>98</v>
      </c>
      <c r="E13" s="33" t="s">
        <v>153</v>
      </c>
      <c r="F13" s="33" t="s">
        <v>259</v>
      </c>
      <c r="G13" s="34">
        <v>5065</v>
      </c>
      <c r="H13" s="31" t="s">
        <v>4</v>
      </c>
      <c r="I13" s="35">
        <f>Ühikhinnad!B12</f>
        <v>70</v>
      </c>
      <c r="J13" s="35">
        <f t="shared" si="0"/>
        <v>354550</v>
      </c>
      <c r="K13" s="35">
        <f t="shared" si="2"/>
        <v>42546</v>
      </c>
      <c r="L13" s="35">
        <f t="shared" si="3"/>
        <v>21273</v>
      </c>
      <c r="M13" s="34">
        <f t="shared" si="1"/>
        <v>418369</v>
      </c>
      <c r="N13" s="33" t="s">
        <v>242</v>
      </c>
      <c r="O13" s="31" t="s">
        <v>154</v>
      </c>
      <c r="P13" s="31"/>
      <c r="Q13" s="30"/>
    </row>
    <row r="14" spans="1:17" ht="29" x14ac:dyDescent="0.35">
      <c r="A14" s="31" t="s">
        <v>82</v>
      </c>
      <c r="B14" s="31" t="s">
        <v>18</v>
      </c>
      <c r="C14" s="31" t="s">
        <v>78</v>
      </c>
      <c r="D14" s="32" t="s">
        <v>98</v>
      </c>
      <c r="E14" s="31" t="s">
        <v>211</v>
      </c>
      <c r="F14" s="33" t="s">
        <v>245</v>
      </c>
      <c r="G14" s="34">
        <v>110</v>
      </c>
      <c r="H14" s="31" t="s">
        <v>4</v>
      </c>
      <c r="I14" s="35">
        <f>Ühikhinnad!B4</f>
        <v>250</v>
      </c>
      <c r="J14" s="35">
        <f t="shared" si="0"/>
        <v>27500</v>
      </c>
      <c r="K14" s="35">
        <f t="shared" si="2"/>
        <v>3300</v>
      </c>
      <c r="L14" s="35">
        <f t="shared" si="3"/>
        <v>1650</v>
      </c>
      <c r="M14" s="34">
        <f t="shared" si="1"/>
        <v>32450</v>
      </c>
      <c r="N14" s="33"/>
      <c r="O14" s="31" t="s">
        <v>84</v>
      </c>
      <c r="P14" s="31"/>
      <c r="Q14" s="30"/>
    </row>
    <row r="15" spans="1:17" ht="29" x14ac:dyDescent="0.35">
      <c r="A15" s="31" t="s">
        <v>82</v>
      </c>
      <c r="B15" s="31" t="s">
        <v>18</v>
      </c>
      <c r="C15" s="31" t="s">
        <v>78</v>
      </c>
      <c r="D15" s="32" t="s">
        <v>98</v>
      </c>
      <c r="E15" s="31" t="s">
        <v>211</v>
      </c>
      <c r="F15" s="33" t="s">
        <v>85</v>
      </c>
      <c r="G15" s="34">
        <v>765</v>
      </c>
      <c r="H15" s="31" t="s">
        <v>4</v>
      </c>
      <c r="I15" s="35">
        <f>Ühikhinnad!B4</f>
        <v>250</v>
      </c>
      <c r="J15" s="35">
        <f t="shared" si="0"/>
        <v>191250</v>
      </c>
      <c r="K15" s="35">
        <f t="shared" si="2"/>
        <v>22950</v>
      </c>
      <c r="L15" s="35">
        <f t="shared" si="3"/>
        <v>11475</v>
      </c>
      <c r="M15" s="34">
        <f t="shared" si="1"/>
        <v>225675</v>
      </c>
      <c r="N15" s="31"/>
      <c r="O15" s="31" t="s">
        <v>84</v>
      </c>
      <c r="P15" s="31" t="s">
        <v>104</v>
      </c>
      <c r="Q15" s="30"/>
    </row>
    <row r="16" spans="1:17" x14ac:dyDescent="0.35">
      <c r="A16" s="31" t="s">
        <v>82</v>
      </c>
      <c r="B16" s="31" t="s">
        <v>18</v>
      </c>
      <c r="C16" s="31" t="s">
        <v>78</v>
      </c>
      <c r="D16" s="32" t="s">
        <v>98</v>
      </c>
      <c r="E16" s="31" t="s">
        <v>21</v>
      </c>
      <c r="F16" s="31" t="s">
        <v>83</v>
      </c>
      <c r="G16" s="34">
        <v>659</v>
      </c>
      <c r="H16" s="31" t="s">
        <v>4</v>
      </c>
      <c r="I16" s="35">
        <f>Ühikhinnad!B4</f>
        <v>250</v>
      </c>
      <c r="J16" s="35">
        <f t="shared" si="0"/>
        <v>164750</v>
      </c>
      <c r="K16" s="35">
        <f t="shared" si="2"/>
        <v>19770</v>
      </c>
      <c r="L16" s="35">
        <f t="shared" si="3"/>
        <v>9885</v>
      </c>
      <c r="M16" s="34">
        <f t="shared" si="1"/>
        <v>194405</v>
      </c>
      <c r="N16" s="31"/>
      <c r="O16" s="31" t="s">
        <v>84</v>
      </c>
      <c r="P16" s="31" t="s">
        <v>104</v>
      </c>
      <c r="Q16" s="30"/>
    </row>
    <row r="17" spans="1:17" ht="29" x14ac:dyDescent="0.35">
      <c r="A17" s="31" t="s">
        <v>82</v>
      </c>
      <c r="B17" s="31" t="s">
        <v>8</v>
      </c>
      <c r="C17" s="31" t="s">
        <v>78</v>
      </c>
      <c r="D17" s="32" t="s">
        <v>98</v>
      </c>
      <c r="E17" s="31" t="s">
        <v>211</v>
      </c>
      <c r="F17" s="33" t="s">
        <v>71</v>
      </c>
      <c r="G17" s="34">
        <v>1025</v>
      </c>
      <c r="H17" s="31" t="s">
        <v>4</v>
      </c>
      <c r="I17" s="35">
        <f>Ühikhinnad!B15</f>
        <v>160</v>
      </c>
      <c r="J17" s="35">
        <f t="shared" si="0"/>
        <v>164000</v>
      </c>
      <c r="K17" s="35">
        <f t="shared" si="2"/>
        <v>19680</v>
      </c>
      <c r="L17" s="35">
        <f t="shared" si="3"/>
        <v>9840</v>
      </c>
      <c r="M17" s="34">
        <f t="shared" si="1"/>
        <v>193520</v>
      </c>
      <c r="N17" s="33" t="s">
        <v>254</v>
      </c>
      <c r="O17" s="31" t="s">
        <v>73</v>
      </c>
      <c r="P17" s="31" t="s">
        <v>104</v>
      </c>
      <c r="Q17" s="30"/>
    </row>
    <row r="18" spans="1:17" ht="29" x14ac:dyDescent="0.35">
      <c r="A18" s="31" t="s">
        <v>82</v>
      </c>
      <c r="B18" s="31" t="s">
        <v>18</v>
      </c>
      <c r="C18" s="31" t="s">
        <v>78</v>
      </c>
      <c r="D18" s="32" t="s">
        <v>98</v>
      </c>
      <c r="E18" s="31" t="s">
        <v>211</v>
      </c>
      <c r="F18" s="33" t="s">
        <v>86</v>
      </c>
      <c r="G18" s="34">
        <v>241</v>
      </c>
      <c r="H18" s="31" t="s">
        <v>4</v>
      </c>
      <c r="I18" s="35">
        <f>Ühikhinnad!B4</f>
        <v>250</v>
      </c>
      <c r="J18" s="35">
        <f t="shared" si="0"/>
        <v>60250</v>
      </c>
      <c r="K18" s="35">
        <f t="shared" si="2"/>
        <v>7230</v>
      </c>
      <c r="L18" s="35">
        <f t="shared" si="3"/>
        <v>3615</v>
      </c>
      <c r="M18" s="34">
        <f t="shared" si="1"/>
        <v>71095</v>
      </c>
      <c r="N18" s="31"/>
      <c r="O18" s="31" t="s">
        <v>75</v>
      </c>
      <c r="P18" s="31" t="s">
        <v>104</v>
      </c>
      <c r="Q18" s="30"/>
    </row>
    <row r="19" spans="1:17" x14ac:dyDescent="0.35">
      <c r="A19" s="31" t="s">
        <v>82</v>
      </c>
      <c r="B19" s="31" t="s">
        <v>18</v>
      </c>
      <c r="C19" s="31" t="s">
        <v>78</v>
      </c>
      <c r="D19" s="32" t="s">
        <v>98</v>
      </c>
      <c r="E19" s="31" t="s">
        <v>211</v>
      </c>
      <c r="F19" s="33" t="s">
        <v>189</v>
      </c>
      <c r="G19" s="34">
        <v>131</v>
      </c>
      <c r="H19" s="31" t="s">
        <v>4</v>
      </c>
      <c r="I19" s="35">
        <f>Ühikhinnad!B16</f>
        <v>140</v>
      </c>
      <c r="J19" s="35">
        <f t="shared" si="0"/>
        <v>18340</v>
      </c>
      <c r="K19" s="35">
        <f t="shared" si="2"/>
        <v>2200.7999999999997</v>
      </c>
      <c r="L19" s="35">
        <f t="shared" si="3"/>
        <v>1100.3999999999999</v>
      </c>
      <c r="M19" s="34">
        <f t="shared" si="1"/>
        <v>21641.200000000001</v>
      </c>
      <c r="N19" s="31"/>
      <c r="O19" s="31" t="s">
        <v>75</v>
      </c>
      <c r="P19" s="31"/>
      <c r="Q19" s="30"/>
    </row>
    <row r="20" spans="1:17" x14ac:dyDescent="0.35">
      <c r="A20" s="31" t="s">
        <v>90</v>
      </c>
      <c r="B20" s="31" t="s">
        <v>8</v>
      </c>
      <c r="C20" s="31" t="s">
        <v>19</v>
      </c>
      <c r="D20" s="32">
        <v>2027</v>
      </c>
      <c r="E20" s="31" t="s">
        <v>21</v>
      </c>
      <c r="F20" s="33" t="s">
        <v>91</v>
      </c>
      <c r="G20" s="31">
        <v>115</v>
      </c>
      <c r="H20" s="31" t="s">
        <v>4</v>
      </c>
      <c r="I20" s="35">
        <f>Ühikhinnad!B15</f>
        <v>160</v>
      </c>
      <c r="J20" s="35">
        <f t="shared" si="0"/>
        <v>18400</v>
      </c>
      <c r="K20" s="35">
        <f t="shared" si="2"/>
        <v>2208</v>
      </c>
      <c r="L20" s="35">
        <f t="shared" si="3"/>
        <v>1104</v>
      </c>
      <c r="M20" s="34">
        <f t="shared" si="1"/>
        <v>21712</v>
      </c>
      <c r="N20" s="33"/>
      <c r="O20" s="31" t="s">
        <v>92</v>
      </c>
      <c r="P20" s="31" t="s">
        <v>104</v>
      </c>
      <c r="Q20" s="30"/>
    </row>
    <row r="21" spans="1:17" ht="29" x14ac:dyDescent="0.35">
      <c r="A21" s="31" t="s">
        <v>149</v>
      </c>
      <c r="B21" s="31" t="s">
        <v>261</v>
      </c>
      <c r="C21" s="31" t="s">
        <v>78</v>
      </c>
      <c r="D21" s="32" t="s">
        <v>98</v>
      </c>
      <c r="E21" s="33" t="s">
        <v>168</v>
      </c>
      <c r="F21" s="33" t="s">
        <v>150</v>
      </c>
      <c r="G21" s="31">
        <v>1</v>
      </c>
      <c r="H21" s="31" t="s">
        <v>5</v>
      </c>
      <c r="I21" s="31">
        <f>Ühikhinnad!B17</f>
        <v>900</v>
      </c>
      <c r="J21" s="34">
        <f t="shared" si="0"/>
        <v>900</v>
      </c>
      <c r="K21" s="34"/>
      <c r="L21" s="34"/>
      <c r="M21" s="34">
        <f t="shared" si="1"/>
        <v>900</v>
      </c>
      <c r="N21" s="33" t="s">
        <v>233</v>
      </c>
      <c r="O21" s="31" t="s">
        <v>151</v>
      </c>
      <c r="P21" s="31"/>
      <c r="Q21" s="30"/>
    </row>
    <row r="22" spans="1:17" ht="43.5" x14ac:dyDescent="0.35">
      <c r="A22" s="31" t="s">
        <v>96</v>
      </c>
      <c r="B22" s="33" t="s">
        <v>262</v>
      </c>
      <c r="C22" s="31" t="s">
        <v>78</v>
      </c>
      <c r="D22" s="32" t="s">
        <v>98</v>
      </c>
      <c r="E22" s="31" t="s">
        <v>21</v>
      </c>
      <c r="F22" s="33" t="s">
        <v>209</v>
      </c>
      <c r="G22" s="36">
        <f>25775/12*8</f>
        <v>17183.333333333332</v>
      </c>
      <c r="H22" s="31" t="s">
        <v>4</v>
      </c>
      <c r="I22" s="35">
        <f>Ühikhinnad!B21</f>
        <v>0.6</v>
      </c>
      <c r="J22" s="35">
        <f t="shared" si="0"/>
        <v>10309.999999999998</v>
      </c>
      <c r="K22" s="35"/>
      <c r="L22" s="35"/>
      <c r="M22" s="34">
        <f t="shared" si="1"/>
        <v>10309.999999999998</v>
      </c>
      <c r="N22" s="33" t="s">
        <v>195</v>
      </c>
      <c r="O22" s="31"/>
      <c r="P22" s="31"/>
      <c r="Q22" s="30"/>
    </row>
    <row r="23" spans="1:17" ht="43.5" x14ac:dyDescent="0.35">
      <c r="A23" s="31" t="s">
        <v>96</v>
      </c>
      <c r="B23" s="33" t="s">
        <v>102</v>
      </c>
      <c r="C23" s="31" t="s">
        <v>78</v>
      </c>
      <c r="D23" s="32" t="s">
        <v>193</v>
      </c>
      <c r="E23" s="31" t="s">
        <v>21</v>
      </c>
      <c r="F23" s="33" t="s">
        <v>194</v>
      </c>
      <c r="G23" s="31">
        <v>80</v>
      </c>
      <c r="H23" s="31" t="s">
        <v>190</v>
      </c>
      <c r="I23" s="35">
        <f>3000</f>
        <v>3000</v>
      </c>
      <c r="J23" s="35">
        <f t="shared" si="0"/>
        <v>240000</v>
      </c>
      <c r="K23" s="35">
        <f>J23*0.12</f>
        <v>28800</v>
      </c>
      <c r="L23" s="35">
        <f>J23*0.06</f>
        <v>14400</v>
      </c>
      <c r="M23" s="34">
        <f t="shared" si="1"/>
        <v>283200</v>
      </c>
      <c r="N23" s="33" t="s">
        <v>208</v>
      </c>
      <c r="O23" s="31"/>
      <c r="P23" s="31"/>
      <c r="Q23" s="30"/>
    </row>
    <row r="24" spans="1:17" ht="43.5" x14ac:dyDescent="0.35">
      <c r="A24" s="31" t="s">
        <v>96</v>
      </c>
      <c r="B24" s="33" t="s">
        <v>262</v>
      </c>
      <c r="C24" s="31" t="s">
        <v>19</v>
      </c>
      <c r="D24" s="32">
        <v>2027</v>
      </c>
      <c r="E24" s="31" t="s">
        <v>21</v>
      </c>
      <c r="F24" s="33" t="s">
        <v>209</v>
      </c>
      <c r="G24" s="36">
        <f>25775/12*4</f>
        <v>8591.6666666666661</v>
      </c>
      <c r="H24" s="31" t="s">
        <v>4</v>
      </c>
      <c r="I24" s="35">
        <f>Ühikhinnad!B21</f>
        <v>0.6</v>
      </c>
      <c r="J24" s="35">
        <f t="shared" si="0"/>
        <v>5154.9999999999991</v>
      </c>
      <c r="K24" s="46"/>
      <c r="L24" s="46"/>
      <c r="M24" s="34">
        <f t="shared" si="1"/>
        <v>5154.9999999999991</v>
      </c>
      <c r="N24" s="38" t="s">
        <v>207</v>
      </c>
      <c r="O24" s="31"/>
      <c r="P24" s="31"/>
      <c r="Q24" s="30"/>
    </row>
    <row r="25" spans="1:17" ht="101.5" x14ac:dyDescent="0.35">
      <c r="A25" s="31" t="s">
        <v>96</v>
      </c>
      <c r="B25" s="33" t="s">
        <v>102</v>
      </c>
      <c r="C25" s="31" t="s">
        <v>19</v>
      </c>
      <c r="D25" s="32">
        <v>2027</v>
      </c>
      <c r="E25" s="31" t="s">
        <v>21</v>
      </c>
      <c r="F25" s="33" t="s">
        <v>192</v>
      </c>
      <c r="G25" s="31">
        <f>8+10+4.65</f>
        <v>22.65</v>
      </c>
      <c r="H25" s="31" t="s">
        <v>190</v>
      </c>
      <c r="I25" s="35">
        <f>3000</f>
        <v>3000</v>
      </c>
      <c r="J25" s="35">
        <f t="shared" si="0"/>
        <v>67950</v>
      </c>
      <c r="K25" s="35">
        <f>J25*0.12</f>
        <v>8154</v>
      </c>
      <c r="L25" s="35">
        <f>J25*0.06</f>
        <v>4077</v>
      </c>
      <c r="M25" s="34">
        <f t="shared" si="1"/>
        <v>80181</v>
      </c>
      <c r="N25" s="37" t="s">
        <v>266</v>
      </c>
      <c r="O25" s="31"/>
      <c r="P25" s="31"/>
      <c r="Q25" s="30"/>
    </row>
    <row r="26" spans="1:17" ht="29" x14ac:dyDescent="0.35">
      <c r="A26" s="31" t="s">
        <v>146</v>
      </c>
      <c r="B26" s="31" t="s">
        <v>261</v>
      </c>
      <c r="C26" s="31" t="s">
        <v>78</v>
      </c>
      <c r="D26" s="32" t="s">
        <v>98</v>
      </c>
      <c r="E26" s="33" t="s">
        <v>168</v>
      </c>
      <c r="F26" s="31" t="s">
        <v>147</v>
      </c>
      <c r="G26" s="31">
        <v>1</v>
      </c>
      <c r="H26" s="31" t="s">
        <v>5</v>
      </c>
      <c r="I26" s="31">
        <f>Ühikhinnad!B20</f>
        <v>3500</v>
      </c>
      <c r="J26" s="34">
        <f t="shared" si="0"/>
        <v>3500</v>
      </c>
      <c r="K26" s="35">
        <f>J26*0.12</f>
        <v>420</v>
      </c>
      <c r="L26" s="35">
        <f>J26*0.06</f>
        <v>210</v>
      </c>
      <c r="M26" s="34">
        <f t="shared" si="1"/>
        <v>4130</v>
      </c>
      <c r="N26" s="33" t="s">
        <v>228</v>
      </c>
      <c r="O26" s="31" t="s">
        <v>148</v>
      </c>
      <c r="P26" s="31"/>
      <c r="Q26" s="30"/>
    </row>
    <row r="27" spans="1:17" ht="29" x14ac:dyDescent="0.35">
      <c r="A27" s="31" t="s">
        <v>46</v>
      </c>
      <c r="B27" s="31" t="s">
        <v>260</v>
      </c>
      <c r="C27" s="31" t="s">
        <v>19</v>
      </c>
      <c r="D27" s="32" t="s">
        <v>198</v>
      </c>
      <c r="E27" s="31" t="s">
        <v>177</v>
      </c>
      <c r="F27" s="33" t="s">
        <v>47</v>
      </c>
      <c r="G27" s="34">
        <v>5370</v>
      </c>
      <c r="H27" s="31" t="s">
        <v>4</v>
      </c>
      <c r="I27" s="35">
        <f>Ühikhinnad!B13</f>
        <v>88</v>
      </c>
      <c r="J27" s="35">
        <f t="shared" si="0"/>
        <v>472560</v>
      </c>
      <c r="K27" s="35"/>
      <c r="L27" s="35"/>
      <c r="M27" s="34">
        <f t="shared" si="1"/>
        <v>472560</v>
      </c>
      <c r="N27" s="33"/>
      <c r="O27" s="31" t="s">
        <v>48</v>
      </c>
      <c r="P27" s="31" t="s">
        <v>103</v>
      </c>
      <c r="Q27" s="30"/>
    </row>
    <row r="28" spans="1:17" x14ac:dyDescent="0.35">
      <c r="A28" s="31" t="s">
        <v>46</v>
      </c>
      <c r="B28" s="31" t="s">
        <v>18</v>
      </c>
      <c r="C28" s="31" t="s">
        <v>78</v>
      </c>
      <c r="D28" s="32" t="s">
        <v>98</v>
      </c>
      <c r="E28" s="31" t="s">
        <v>211</v>
      </c>
      <c r="F28" s="33" t="s">
        <v>246</v>
      </c>
      <c r="G28" s="34">
        <v>130</v>
      </c>
      <c r="H28" s="31" t="s">
        <v>4</v>
      </c>
      <c r="I28" s="35">
        <f>Ühikhinnad!B4</f>
        <v>250</v>
      </c>
      <c r="J28" s="34">
        <f t="shared" si="0"/>
        <v>32500</v>
      </c>
      <c r="K28" s="35">
        <f t="shared" ref="K28:K37" si="4">J28*0.12</f>
        <v>3900</v>
      </c>
      <c r="L28" s="35">
        <f t="shared" ref="L28:L37" si="5">J28*0.06</f>
        <v>1950</v>
      </c>
      <c r="M28" s="34">
        <f t="shared" si="1"/>
        <v>38350</v>
      </c>
      <c r="N28" s="33"/>
      <c r="O28" s="31" t="s">
        <v>53</v>
      </c>
      <c r="P28" s="31"/>
      <c r="Q28" s="30"/>
    </row>
    <row r="29" spans="1:17" x14ac:dyDescent="0.35">
      <c r="A29" s="31" t="s">
        <v>46</v>
      </c>
      <c r="B29" s="31" t="s">
        <v>18</v>
      </c>
      <c r="C29" s="31" t="s">
        <v>19</v>
      </c>
      <c r="D29" s="32" t="s">
        <v>99</v>
      </c>
      <c r="E29" s="31" t="s">
        <v>211</v>
      </c>
      <c r="F29" s="33" t="s">
        <v>52</v>
      </c>
      <c r="G29" s="34">
        <v>634</v>
      </c>
      <c r="H29" s="31" t="s">
        <v>4</v>
      </c>
      <c r="I29" s="35">
        <f>Ühikhinnad!B4</f>
        <v>250</v>
      </c>
      <c r="J29" s="35">
        <f t="shared" si="0"/>
        <v>158500</v>
      </c>
      <c r="K29" s="35">
        <f t="shared" si="4"/>
        <v>19020</v>
      </c>
      <c r="L29" s="35">
        <f t="shared" si="5"/>
        <v>9510</v>
      </c>
      <c r="M29" s="34">
        <f t="shared" si="1"/>
        <v>187030</v>
      </c>
      <c r="N29" s="33"/>
      <c r="O29" s="31" t="s">
        <v>53</v>
      </c>
      <c r="P29" s="31" t="s">
        <v>103</v>
      </c>
      <c r="Q29" s="30"/>
    </row>
    <row r="30" spans="1:17" x14ac:dyDescent="0.35">
      <c r="A30" s="31" t="s">
        <v>46</v>
      </c>
      <c r="B30" s="31" t="s">
        <v>18</v>
      </c>
      <c r="C30" s="31" t="s">
        <v>78</v>
      </c>
      <c r="D30" s="32" t="s">
        <v>98</v>
      </c>
      <c r="E30" s="31" t="s">
        <v>211</v>
      </c>
      <c r="F30" s="33" t="s">
        <v>51</v>
      </c>
      <c r="G30" s="34">
        <f>970+161</f>
        <v>1131</v>
      </c>
      <c r="H30" s="31" t="s">
        <v>4</v>
      </c>
      <c r="I30" s="35">
        <f>Ühikhinnad!B4</f>
        <v>250</v>
      </c>
      <c r="J30" s="35">
        <f t="shared" si="0"/>
        <v>282750</v>
      </c>
      <c r="K30" s="35">
        <f t="shared" si="4"/>
        <v>33930</v>
      </c>
      <c r="L30" s="35">
        <f t="shared" si="5"/>
        <v>16965</v>
      </c>
      <c r="M30" s="34">
        <f t="shared" si="1"/>
        <v>333645</v>
      </c>
      <c r="N30" s="31" t="s">
        <v>49</v>
      </c>
      <c r="O30" s="31" t="s">
        <v>48</v>
      </c>
      <c r="P30" s="31" t="s">
        <v>103</v>
      </c>
      <c r="Q30" s="30"/>
    </row>
    <row r="31" spans="1:17" x14ac:dyDescent="0.35">
      <c r="A31" s="31" t="s">
        <v>46</v>
      </c>
      <c r="B31" s="31" t="s">
        <v>8</v>
      </c>
      <c r="C31" s="31" t="s">
        <v>78</v>
      </c>
      <c r="D31" s="32" t="s">
        <v>98</v>
      </c>
      <c r="E31" s="31" t="s">
        <v>211</v>
      </c>
      <c r="F31" s="33" t="s">
        <v>178</v>
      </c>
      <c r="G31" s="34">
        <v>712</v>
      </c>
      <c r="H31" s="31" t="s">
        <v>4</v>
      </c>
      <c r="I31" s="35">
        <f>Ühikhinnad!B15</f>
        <v>160</v>
      </c>
      <c r="J31" s="35">
        <f t="shared" si="0"/>
        <v>113920</v>
      </c>
      <c r="K31" s="35">
        <f t="shared" si="4"/>
        <v>13670.4</v>
      </c>
      <c r="L31" s="35">
        <f t="shared" si="5"/>
        <v>6835.2</v>
      </c>
      <c r="M31" s="34">
        <f t="shared" si="1"/>
        <v>134425.60000000001</v>
      </c>
      <c r="N31" s="31" t="s">
        <v>248</v>
      </c>
      <c r="O31" s="31" t="s">
        <v>48</v>
      </c>
      <c r="P31" s="31"/>
      <c r="Q31" s="30"/>
    </row>
    <row r="32" spans="1:17" ht="29" x14ac:dyDescent="0.35">
      <c r="A32" s="31" t="s">
        <v>46</v>
      </c>
      <c r="B32" s="31" t="s">
        <v>18</v>
      </c>
      <c r="C32" s="31" t="s">
        <v>78</v>
      </c>
      <c r="D32" s="32" t="s">
        <v>98</v>
      </c>
      <c r="E32" s="31" t="s">
        <v>211</v>
      </c>
      <c r="F32" s="33" t="s">
        <v>249</v>
      </c>
      <c r="G32" s="34">
        <f>1321+292</f>
        <v>1613</v>
      </c>
      <c r="H32" s="31" t="s">
        <v>4</v>
      </c>
      <c r="I32" s="35">
        <f>Ühikhinnad!B4</f>
        <v>250</v>
      </c>
      <c r="J32" s="35">
        <f t="shared" si="0"/>
        <v>403250</v>
      </c>
      <c r="K32" s="35">
        <f t="shared" si="4"/>
        <v>48390</v>
      </c>
      <c r="L32" s="35">
        <f t="shared" si="5"/>
        <v>24195</v>
      </c>
      <c r="M32" s="34">
        <f t="shared" si="1"/>
        <v>475835</v>
      </c>
      <c r="N32" s="31" t="s">
        <v>49</v>
      </c>
      <c r="O32" s="31" t="s">
        <v>50</v>
      </c>
      <c r="P32" s="31" t="s">
        <v>103</v>
      </c>
      <c r="Q32" s="30"/>
    </row>
    <row r="33" spans="1:17" ht="29" x14ac:dyDescent="0.35">
      <c r="A33" s="31" t="s">
        <v>46</v>
      </c>
      <c r="B33" s="31" t="s">
        <v>18</v>
      </c>
      <c r="C33" s="31" t="s">
        <v>78</v>
      </c>
      <c r="D33" s="32" t="s">
        <v>98</v>
      </c>
      <c r="E33" s="31" t="s">
        <v>21</v>
      </c>
      <c r="F33" s="33" t="s">
        <v>59</v>
      </c>
      <c r="G33" s="34">
        <v>68</v>
      </c>
      <c r="H33" s="31" t="s">
        <v>4</v>
      </c>
      <c r="I33" s="35">
        <f>Ühikhinnad!B4</f>
        <v>250</v>
      </c>
      <c r="J33" s="35">
        <f t="shared" si="0"/>
        <v>17000</v>
      </c>
      <c r="K33" s="35">
        <f t="shared" si="4"/>
        <v>2040</v>
      </c>
      <c r="L33" s="35">
        <f t="shared" si="5"/>
        <v>1020</v>
      </c>
      <c r="M33" s="34">
        <f t="shared" si="1"/>
        <v>20060</v>
      </c>
      <c r="N33" s="33" t="s">
        <v>210</v>
      </c>
      <c r="O33" s="31" t="s">
        <v>60</v>
      </c>
      <c r="P33" s="31" t="s">
        <v>103</v>
      </c>
      <c r="Q33" s="30"/>
    </row>
    <row r="34" spans="1:17" ht="29" x14ac:dyDescent="0.35">
      <c r="A34" s="31" t="s">
        <v>46</v>
      </c>
      <c r="B34" s="31" t="s">
        <v>18</v>
      </c>
      <c r="C34" s="31" t="s">
        <v>78</v>
      </c>
      <c r="D34" s="32" t="s">
        <v>98</v>
      </c>
      <c r="E34" s="31" t="s">
        <v>21</v>
      </c>
      <c r="F34" s="33" t="s">
        <v>61</v>
      </c>
      <c r="G34" s="34">
        <v>188</v>
      </c>
      <c r="H34" s="31" t="s">
        <v>4</v>
      </c>
      <c r="I34" s="35">
        <f>Ühikhinnad!B8</f>
        <v>170</v>
      </c>
      <c r="J34" s="35">
        <f t="shared" si="0"/>
        <v>31960</v>
      </c>
      <c r="K34" s="35">
        <f t="shared" si="4"/>
        <v>3835.2</v>
      </c>
      <c r="L34" s="35">
        <f t="shared" si="5"/>
        <v>1917.6</v>
      </c>
      <c r="M34" s="34">
        <f t="shared" si="1"/>
        <v>37712.799999999996</v>
      </c>
      <c r="N34" s="33" t="s">
        <v>210</v>
      </c>
      <c r="O34" s="31" t="s">
        <v>60</v>
      </c>
      <c r="P34" s="31" t="s">
        <v>103</v>
      </c>
      <c r="Q34" s="30"/>
    </row>
    <row r="35" spans="1:17" ht="29" x14ac:dyDescent="0.35">
      <c r="A35" s="31" t="s">
        <v>46</v>
      </c>
      <c r="B35" s="31" t="s">
        <v>62</v>
      </c>
      <c r="C35" s="31" t="s">
        <v>78</v>
      </c>
      <c r="D35" s="32" t="s">
        <v>98</v>
      </c>
      <c r="E35" s="31" t="s">
        <v>21</v>
      </c>
      <c r="F35" s="33" t="s">
        <v>63</v>
      </c>
      <c r="G35" s="34">
        <v>1</v>
      </c>
      <c r="H35" s="31" t="s">
        <v>5</v>
      </c>
      <c r="I35" s="35">
        <f>Ühikhinnad!B10</f>
        <v>40000</v>
      </c>
      <c r="J35" s="35">
        <f t="shared" si="0"/>
        <v>40000</v>
      </c>
      <c r="K35" s="35">
        <f t="shared" si="4"/>
        <v>4800</v>
      </c>
      <c r="L35" s="35">
        <f t="shared" si="5"/>
        <v>2400</v>
      </c>
      <c r="M35" s="34">
        <f t="shared" si="1"/>
        <v>47200</v>
      </c>
      <c r="N35" s="33" t="s">
        <v>210</v>
      </c>
      <c r="O35" s="31" t="s">
        <v>60</v>
      </c>
      <c r="P35" s="31" t="s">
        <v>103</v>
      </c>
      <c r="Q35" s="30"/>
    </row>
    <row r="36" spans="1:17" ht="43.5" x14ac:dyDescent="0.35">
      <c r="A36" s="31" t="s">
        <v>46</v>
      </c>
      <c r="B36" s="31" t="s">
        <v>18</v>
      </c>
      <c r="C36" s="31" t="s">
        <v>78</v>
      </c>
      <c r="D36" s="32" t="s">
        <v>98</v>
      </c>
      <c r="E36" s="33" t="s">
        <v>153</v>
      </c>
      <c r="F36" s="33" t="s">
        <v>54</v>
      </c>
      <c r="G36" s="34">
        <v>255</v>
      </c>
      <c r="H36" s="31" t="s">
        <v>4</v>
      </c>
      <c r="I36" s="35">
        <f>Ühikhinnad!B5</f>
        <v>190</v>
      </c>
      <c r="J36" s="35">
        <f t="shared" ref="J36:J67" si="6">G36*I36</f>
        <v>48450</v>
      </c>
      <c r="K36" s="35">
        <f t="shared" si="4"/>
        <v>5814</v>
      </c>
      <c r="L36" s="35">
        <f t="shared" si="5"/>
        <v>2907</v>
      </c>
      <c r="M36" s="34">
        <f t="shared" ref="M36:M67" si="7">SUM(J36:L36)</f>
        <v>57171</v>
      </c>
      <c r="N36" s="33" t="s">
        <v>201</v>
      </c>
      <c r="O36" s="31" t="s">
        <v>53</v>
      </c>
      <c r="P36" s="31" t="s">
        <v>103</v>
      </c>
      <c r="Q36" s="30"/>
    </row>
    <row r="37" spans="1:17" ht="43.5" x14ac:dyDescent="0.35">
      <c r="A37" s="31" t="s">
        <v>46</v>
      </c>
      <c r="B37" s="31" t="s">
        <v>18</v>
      </c>
      <c r="C37" s="31" t="s">
        <v>78</v>
      </c>
      <c r="D37" s="32" t="s">
        <v>98</v>
      </c>
      <c r="E37" s="33" t="s">
        <v>153</v>
      </c>
      <c r="F37" s="33" t="s">
        <v>57</v>
      </c>
      <c r="G37" s="34">
        <v>366</v>
      </c>
      <c r="H37" s="31" t="s">
        <v>4</v>
      </c>
      <c r="I37" s="35">
        <f>Ühikhinnad!B4</f>
        <v>250</v>
      </c>
      <c r="J37" s="35">
        <f t="shared" si="6"/>
        <v>91500</v>
      </c>
      <c r="K37" s="35">
        <f t="shared" si="4"/>
        <v>10980</v>
      </c>
      <c r="L37" s="35">
        <f t="shared" si="5"/>
        <v>5490</v>
      </c>
      <c r="M37" s="34">
        <f t="shared" si="7"/>
        <v>107970</v>
      </c>
      <c r="N37" s="33" t="s">
        <v>201</v>
      </c>
      <c r="O37" s="31" t="s">
        <v>53</v>
      </c>
      <c r="P37" s="31" t="s">
        <v>103</v>
      </c>
      <c r="Q37" s="30"/>
    </row>
    <row r="38" spans="1:17" ht="101.5" x14ac:dyDescent="0.35">
      <c r="A38" s="31" t="s">
        <v>46</v>
      </c>
      <c r="B38" s="31" t="s">
        <v>261</v>
      </c>
      <c r="C38" s="31" t="s">
        <v>78</v>
      </c>
      <c r="D38" s="32" t="s">
        <v>98</v>
      </c>
      <c r="E38" s="33" t="s">
        <v>153</v>
      </c>
      <c r="F38" s="33" t="s">
        <v>143</v>
      </c>
      <c r="G38" s="34">
        <v>1</v>
      </c>
      <c r="H38" s="31" t="s">
        <v>5</v>
      </c>
      <c r="I38" s="34">
        <f>Ühikhinnad!B17</f>
        <v>900</v>
      </c>
      <c r="J38" s="34">
        <f t="shared" si="6"/>
        <v>900</v>
      </c>
      <c r="K38" s="35"/>
      <c r="L38" s="35"/>
      <c r="M38" s="34">
        <f t="shared" si="7"/>
        <v>900</v>
      </c>
      <c r="N38" s="33" t="s">
        <v>217</v>
      </c>
      <c r="O38" s="31" t="s">
        <v>53</v>
      </c>
      <c r="P38" s="31" t="s">
        <v>103</v>
      </c>
      <c r="Q38" s="30"/>
    </row>
    <row r="39" spans="1:17" ht="72.5" x14ac:dyDescent="0.35">
      <c r="A39" s="31" t="s">
        <v>46</v>
      </c>
      <c r="B39" s="31" t="s">
        <v>261</v>
      </c>
      <c r="C39" s="31" t="s">
        <v>78</v>
      </c>
      <c r="D39" s="32" t="s">
        <v>98</v>
      </c>
      <c r="E39" s="33" t="s">
        <v>153</v>
      </c>
      <c r="F39" s="31" t="s">
        <v>171</v>
      </c>
      <c r="G39" s="34">
        <v>1</v>
      </c>
      <c r="H39" s="31" t="s">
        <v>5</v>
      </c>
      <c r="I39" s="34">
        <f>Ühikhinnad!B18</f>
        <v>700</v>
      </c>
      <c r="J39" s="34">
        <f t="shared" si="6"/>
        <v>700</v>
      </c>
      <c r="K39" s="34"/>
      <c r="L39" s="34"/>
      <c r="M39" s="34">
        <f t="shared" si="7"/>
        <v>700</v>
      </c>
      <c r="N39" s="33" t="s">
        <v>218</v>
      </c>
      <c r="O39" s="31" t="s">
        <v>53</v>
      </c>
      <c r="P39" s="31" t="s">
        <v>103</v>
      </c>
      <c r="Q39" s="30"/>
    </row>
    <row r="40" spans="1:17" ht="29" x14ac:dyDescent="0.35">
      <c r="A40" s="31" t="s">
        <v>46</v>
      </c>
      <c r="B40" s="31" t="s">
        <v>18</v>
      </c>
      <c r="C40" s="31" t="s">
        <v>78</v>
      </c>
      <c r="D40" s="32" t="s">
        <v>98</v>
      </c>
      <c r="E40" s="31" t="s">
        <v>211</v>
      </c>
      <c r="F40" s="33" t="s">
        <v>55</v>
      </c>
      <c r="G40" s="34">
        <v>250</v>
      </c>
      <c r="H40" s="31" t="s">
        <v>4</v>
      </c>
      <c r="I40" s="35">
        <f>Ühikhinnad!B4</f>
        <v>250</v>
      </c>
      <c r="J40" s="35">
        <f t="shared" si="6"/>
        <v>62500</v>
      </c>
      <c r="K40" s="35">
        <f t="shared" ref="K40:K45" si="8">J40*0.12</f>
        <v>7500</v>
      </c>
      <c r="L40" s="35">
        <f t="shared" ref="L40:L45" si="9">J40*0.06</f>
        <v>3750</v>
      </c>
      <c r="M40" s="34">
        <f t="shared" si="7"/>
        <v>73750</v>
      </c>
      <c r="N40" s="31"/>
      <c r="O40" s="31" t="s">
        <v>53</v>
      </c>
      <c r="P40" s="31" t="s">
        <v>103</v>
      </c>
      <c r="Q40" s="30"/>
    </row>
    <row r="41" spans="1:17" ht="29" x14ac:dyDescent="0.35">
      <c r="A41" s="31" t="s">
        <v>46</v>
      </c>
      <c r="B41" s="31" t="s">
        <v>18</v>
      </c>
      <c r="C41" s="31" t="s">
        <v>78</v>
      </c>
      <c r="D41" s="32" t="s">
        <v>98</v>
      </c>
      <c r="E41" s="31" t="s">
        <v>211</v>
      </c>
      <c r="F41" s="33" t="s">
        <v>179</v>
      </c>
      <c r="G41" s="34">
        <v>224</v>
      </c>
      <c r="H41" s="31" t="s">
        <v>4</v>
      </c>
      <c r="I41" s="35">
        <f>Ühikhinnad!B4</f>
        <v>250</v>
      </c>
      <c r="J41" s="35">
        <f t="shared" si="6"/>
        <v>56000</v>
      </c>
      <c r="K41" s="35">
        <f t="shared" si="8"/>
        <v>6720</v>
      </c>
      <c r="L41" s="35">
        <f t="shared" si="9"/>
        <v>3360</v>
      </c>
      <c r="M41" s="34">
        <f t="shared" si="7"/>
        <v>66080</v>
      </c>
      <c r="N41" s="31"/>
      <c r="O41" s="31" t="s">
        <v>53</v>
      </c>
      <c r="P41" s="31" t="s">
        <v>103</v>
      </c>
      <c r="Q41" s="30"/>
    </row>
    <row r="42" spans="1:17" ht="29" x14ac:dyDescent="0.35">
      <c r="A42" s="31" t="s">
        <v>46</v>
      </c>
      <c r="B42" s="31" t="s">
        <v>18</v>
      </c>
      <c r="C42" s="31" t="s">
        <v>78</v>
      </c>
      <c r="D42" s="32" t="s">
        <v>98</v>
      </c>
      <c r="E42" s="31" t="s">
        <v>211</v>
      </c>
      <c r="F42" s="33" t="s">
        <v>180</v>
      </c>
      <c r="G42" s="34">
        <v>661</v>
      </c>
      <c r="H42" s="31" t="s">
        <v>4</v>
      </c>
      <c r="I42" s="35">
        <f>Ühikhinnad!B4</f>
        <v>250</v>
      </c>
      <c r="J42" s="35">
        <f t="shared" si="6"/>
        <v>165250</v>
      </c>
      <c r="K42" s="35">
        <f t="shared" si="8"/>
        <v>19830</v>
      </c>
      <c r="L42" s="35">
        <f t="shared" si="9"/>
        <v>9915</v>
      </c>
      <c r="M42" s="34">
        <f t="shared" si="7"/>
        <v>194995</v>
      </c>
      <c r="N42" s="31"/>
      <c r="O42" s="31" t="s">
        <v>53</v>
      </c>
      <c r="P42" s="31" t="s">
        <v>103</v>
      </c>
      <c r="Q42" s="30"/>
    </row>
    <row r="43" spans="1:17" ht="29" x14ac:dyDescent="0.35">
      <c r="A43" s="31" t="s">
        <v>46</v>
      </c>
      <c r="B43" s="31" t="s">
        <v>8</v>
      </c>
      <c r="C43" s="31" t="s">
        <v>78</v>
      </c>
      <c r="D43" s="32" t="s">
        <v>98</v>
      </c>
      <c r="E43" s="31" t="s">
        <v>211</v>
      </c>
      <c r="F43" s="33" t="s">
        <v>181</v>
      </c>
      <c r="G43" s="34">
        <f>596+221</f>
        <v>817</v>
      </c>
      <c r="H43" s="31" t="s">
        <v>4</v>
      </c>
      <c r="I43" s="35">
        <f>Ühikhinnad!B15</f>
        <v>160</v>
      </c>
      <c r="J43" s="35">
        <f t="shared" si="6"/>
        <v>130720</v>
      </c>
      <c r="K43" s="35">
        <f t="shared" si="8"/>
        <v>15686.4</v>
      </c>
      <c r="L43" s="35">
        <f t="shared" si="9"/>
        <v>7843.2</v>
      </c>
      <c r="M43" s="34">
        <f t="shared" si="7"/>
        <v>154249.60000000001</v>
      </c>
      <c r="N43" s="31" t="s">
        <v>250</v>
      </c>
      <c r="O43" s="31" t="s">
        <v>53</v>
      </c>
      <c r="P43" s="31" t="s">
        <v>103</v>
      </c>
      <c r="Q43" s="30"/>
    </row>
    <row r="44" spans="1:17" ht="29" x14ac:dyDescent="0.35">
      <c r="A44" s="31" t="s">
        <v>46</v>
      </c>
      <c r="B44" s="31" t="s">
        <v>8</v>
      </c>
      <c r="C44" s="31" t="s">
        <v>78</v>
      </c>
      <c r="D44" s="32" t="s">
        <v>98</v>
      </c>
      <c r="E44" s="31" t="s">
        <v>211</v>
      </c>
      <c r="F44" s="33" t="s">
        <v>56</v>
      </c>
      <c r="G44" s="34">
        <v>703</v>
      </c>
      <c r="H44" s="31" t="s">
        <v>4</v>
      </c>
      <c r="I44" s="35">
        <f>Ühikhinnad!B15</f>
        <v>160</v>
      </c>
      <c r="J44" s="35">
        <f t="shared" si="6"/>
        <v>112480</v>
      </c>
      <c r="K44" s="35">
        <f t="shared" si="8"/>
        <v>13497.6</v>
      </c>
      <c r="L44" s="35">
        <f t="shared" si="9"/>
        <v>6748.8</v>
      </c>
      <c r="M44" s="34">
        <f t="shared" si="7"/>
        <v>132726.39999999999</v>
      </c>
      <c r="N44" s="31" t="s">
        <v>251</v>
      </c>
      <c r="O44" s="31" t="s">
        <v>53</v>
      </c>
      <c r="P44" s="31" t="s">
        <v>103</v>
      </c>
      <c r="Q44" s="30"/>
    </row>
    <row r="45" spans="1:17" x14ac:dyDescent="0.35">
      <c r="A45" s="31" t="s">
        <v>46</v>
      </c>
      <c r="B45" s="31" t="s">
        <v>18</v>
      </c>
      <c r="C45" s="31" t="s">
        <v>78</v>
      </c>
      <c r="D45" s="32" t="s">
        <v>98</v>
      </c>
      <c r="E45" s="31" t="s">
        <v>211</v>
      </c>
      <c r="F45" s="33" t="s">
        <v>182</v>
      </c>
      <c r="G45" s="34">
        <f>1111+287</f>
        <v>1398</v>
      </c>
      <c r="H45" s="31" t="s">
        <v>4</v>
      </c>
      <c r="I45" s="35">
        <f>Ühikhinnad!B5</f>
        <v>190</v>
      </c>
      <c r="J45" s="35">
        <f t="shared" si="6"/>
        <v>265620</v>
      </c>
      <c r="K45" s="35">
        <f t="shared" si="8"/>
        <v>31874.399999999998</v>
      </c>
      <c r="L45" s="35">
        <f t="shared" si="9"/>
        <v>15937.199999999999</v>
      </c>
      <c r="M45" s="34">
        <f t="shared" si="7"/>
        <v>313431.60000000003</v>
      </c>
      <c r="N45" s="31" t="s">
        <v>58</v>
      </c>
      <c r="O45" s="31" t="s">
        <v>53</v>
      </c>
      <c r="P45" s="31" t="s">
        <v>103</v>
      </c>
      <c r="Q45" s="30"/>
    </row>
    <row r="46" spans="1:17" ht="29" x14ac:dyDescent="0.35">
      <c r="A46" s="31" t="s">
        <v>46</v>
      </c>
      <c r="B46" s="31" t="s">
        <v>261</v>
      </c>
      <c r="C46" s="31" t="s">
        <v>19</v>
      </c>
      <c r="D46" s="32">
        <v>2027</v>
      </c>
      <c r="E46" s="39" t="s">
        <v>21</v>
      </c>
      <c r="F46" s="33" t="s">
        <v>144</v>
      </c>
      <c r="G46" s="34">
        <v>1</v>
      </c>
      <c r="H46" s="31" t="s">
        <v>5</v>
      </c>
      <c r="I46" s="34">
        <f>Ühikhinnad!B17</f>
        <v>900</v>
      </c>
      <c r="J46" s="34">
        <f t="shared" si="6"/>
        <v>900</v>
      </c>
      <c r="K46" s="34"/>
      <c r="L46" s="34"/>
      <c r="M46" s="34">
        <f t="shared" si="7"/>
        <v>900</v>
      </c>
      <c r="N46" s="33" t="s">
        <v>145</v>
      </c>
      <c r="O46" s="31" t="s">
        <v>53</v>
      </c>
      <c r="P46" s="31" t="s">
        <v>103</v>
      </c>
      <c r="Q46" s="30"/>
    </row>
    <row r="47" spans="1:17" ht="43.5" x14ac:dyDescent="0.35">
      <c r="A47" s="31" t="s">
        <v>76</v>
      </c>
      <c r="B47" s="31" t="s">
        <v>260</v>
      </c>
      <c r="C47" s="31" t="s">
        <v>200</v>
      </c>
      <c r="D47" s="32" t="s">
        <v>197</v>
      </c>
      <c r="E47" s="31" t="s">
        <v>21</v>
      </c>
      <c r="F47" s="33" t="s">
        <v>263</v>
      </c>
      <c r="G47" s="34">
        <v>337</v>
      </c>
      <c r="H47" s="31" t="s">
        <v>4</v>
      </c>
      <c r="I47" s="35">
        <f>Ühikhinnad!B13</f>
        <v>88</v>
      </c>
      <c r="J47" s="35">
        <f t="shared" si="6"/>
        <v>29656</v>
      </c>
      <c r="K47" s="35"/>
      <c r="L47" s="35"/>
      <c r="M47" s="34">
        <f t="shared" si="7"/>
        <v>29656</v>
      </c>
      <c r="N47" s="33" t="s">
        <v>199</v>
      </c>
      <c r="O47" s="31" t="s">
        <v>79</v>
      </c>
      <c r="P47" s="31" t="s">
        <v>104</v>
      </c>
      <c r="Q47" s="30"/>
    </row>
    <row r="48" spans="1:17" ht="43.5" x14ac:dyDescent="0.35">
      <c r="A48" s="31" t="s">
        <v>76</v>
      </c>
      <c r="B48" s="31" t="s">
        <v>261</v>
      </c>
      <c r="C48" s="31" t="s">
        <v>200</v>
      </c>
      <c r="D48" s="32" t="s">
        <v>197</v>
      </c>
      <c r="E48" s="33" t="s">
        <v>21</v>
      </c>
      <c r="F48" s="31" t="s">
        <v>81</v>
      </c>
      <c r="G48" s="34">
        <v>1</v>
      </c>
      <c r="H48" s="31" t="s">
        <v>5</v>
      </c>
      <c r="I48" s="31">
        <f>Ühikhinnad!B17</f>
        <v>900</v>
      </c>
      <c r="J48" s="34">
        <f t="shared" si="6"/>
        <v>900</v>
      </c>
      <c r="K48" s="34"/>
      <c r="L48" s="34"/>
      <c r="M48" s="34">
        <f t="shared" si="7"/>
        <v>900</v>
      </c>
      <c r="N48" s="33" t="s">
        <v>199</v>
      </c>
      <c r="O48" s="31" t="s">
        <v>79</v>
      </c>
      <c r="P48" s="31" t="s">
        <v>104</v>
      </c>
      <c r="Q48" s="30"/>
    </row>
    <row r="49" spans="1:21" x14ac:dyDescent="0.35">
      <c r="A49" s="31" t="s">
        <v>76</v>
      </c>
      <c r="B49" s="31" t="s">
        <v>18</v>
      </c>
      <c r="C49" s="31" t="s">
        <v>78</v>
      </c>
      <c r="D49" s="32" t="s">
        <v>98</v>
      </c>
      <c r="E49" s="31" t="s">
        <v>21</v>
      </c>
      <c r="F49" s="31" t="s">
        <v>203</v>
      </c>
      <c r="G49" s="34">
        <v>460</v>
      </c>
      <c r="H49" s="31" t="s">
        <v>4</v>
      </c>
      <c r="I49" s="35">
        <f>Ühikhinnad!B5</f>
        <v>190</v>
      </c>
      <c r="J49" s="35">
        <f t="shared" si="6"/>
        <v>87400</v>
      </c>
      <c r="K49" s="35">
        <f>J49*0.12</f>
        <v>10488</v>
      </c>
      <c r="L49" s="35">
        <f>J49*0.06</f>
        <v>5244</v>
      </c>
      <c r="M49" s="34">
        <f t="shared" si="7"/>
        <v>103132</v>
      </c>
      <c r="N49" s="33"/>
      <c r="O49" s="31" t="s">
        <v>77</v>
      </c>
      <c r="P49" s="31" t="s">
        <v>104</v>
      </c>
      <c r="Q49" s="30"/>
    </row>
    <row r="50" spans="1:21" x14ac:dyDescent="0.35">
      <c r="A50" s="31" t="s">
        <v>76</v>
      </c>
      <c r="B50" s="31" t="s">
        <v>18</v>
      </c>
      <c r="C50" s="31" t="s">
        <v>78</v>
      </c>
      <c r="D50" s="32" t="s">
        <v>98</v>
      </c>
      <c r="E50" s="31" t="s">
        <v>211</v>
      </c>
      <c r="F50" s="31" t="s">
        <v>202</v>
      </c>
      <c r="G50" s="34">
        <v>918</v>
      </c>
      <c r="H50" s="31" t="s">
        <v>4</v>
      </c>
      <c r="I50" s="35">
        <f>Ühikhinnad!B4</f>
        <v>250</v>
      </c>
      <c r="J50" s="35">
        <f t="shared" si="6"/>
        <v>229500</v>
      </c>
      <c r="K50" s="35">
        <f>J50*0.12</f>
        <v>27540</v>
      </c>
      <c r="L50" s="35">
        <f>J50*0.06</f>
        <v>13770</v>
      </c>
      <c r="M50" s="34">
        <f t="shared" si="7"/>
        <v>270810</v>
      </c>
      <c r="N50" s="33"/>
      <c r="O50" s="31" t="s">
        <v>77</v>
      </c>
      <c r="P50" s="31" t="s">
        <v>104</v>
      </c>
      <c r="Q50" s="30"/>
    </row>
    <row r="51" spans="1:21" ht="29" x14ac:dyDescent="0.35">
      <c r="A51" s="31" t="s">
        <v>76</v>
      </c>
      <c r="B51" s="31" t="s">
        <v>18</v>
      </c>
      <c r="C51" s="31" t="s">
        <v>78</v>
      </c>
      <c r="D51" s="32" t="s">
        <v>98</v>
      </c>
      <c r="E51" s="31" t="s">
        <v>21</v>
      </c>
      <c r="F51" s="33" t="s">
        <v>187</v>
      </c>
      <c r="G51" s="34">
        <v>91.5</v>
      </c>
      <c r="H51" s="31" t="s">
        <v>4</v>
      </c>
      <c r="I51" s="35">
        <f>Ühikhinnad!B4</f>
        <v>250</v>
      </c>
      <c r="J51" s="35">
        <f t="shared" si="6"/>
        <v>22875</v>
      </c>
      <c r="K51" s="35">
        <f>J51*0.12</f>
        <v>2745</v>
      </c>
      <c r="L51" s="35">
        <f>J51*0.06</f>
        <v>1372.5</v>
      </c>
      <c r="M51" s="34">
        <f t="shared" si="7"/>
        <v>26992.5</v>
      </c>
      <c r="N51" s="33"/>
      <c r="O51" s="31" t="s">
        <v>79</v>
      </c>
      <c r="P51" s="31" t="s">
        <v>104</v>
      </c>
      <c r="Q51" s="30"/>
    </row>
    <row r="52" spans="1:21" ht="43.5" x14ac:dyDescent="0.35">
      <c r="A52" s="31" t="s">
        <v>76</v>
      </c>
      <c r="B52" s="31" t="s">
        <v>260</v>
      </c>
      <c r="C52" s="31" t="s">
        <v>78</v>
      </c>
      <c r="D52" s="32" t="s">
        <v>98</v>
      </c>
      <c r="E52" s="33" t="s">
        <v>153</v>
      </c>
      <c r="F52" s="33" t="s">
        <v>188</v>
      </c>
      <c r="G52" s="40">
        <f>624+162+279+110+50+113+57+137+234+126+147+162</f>
        <v>2201</v>
      </c>
      <c r="H52" s="31" t="s">
        <v>4</v>
      </c>
      <c r="I52" s="35">
        <f>Ühikhinnad!B13</f>
        <v>88</v>
      </c>
      <c r="J52" s="35">
        <f t="shared" si="6"/>
        <v>193688</v>
      </c>
      <c r="K52" s="35"/>
      <c r="L52" s="35"/>
      <c r="M52" s="34">
        <f t="shared" si="7"/>
        <v>193688</v>
      </c>
      <c r="N52" s="33" t="s">
        <v>201</v>
      </c>
      <c r="O52" s="31" t="s">
        <v>79</v>
      </c>
      <c r="P52" s="31"/>
      <c r="Q52" s="30"/>
    </row>
    <row r="53" spans="1:21" x14ac:dyDescent="0.35">
      <c r="A53" s="31" t="s">
        <v>76</v>
      </c>
      <c r="B53" s="31" t="s">
        <v>18</v>
      </c>
      <c r="C53" s="32" t="s">
        <v>78</v>
      </c>
      <c r="D53" s="32" t="s">
        <v>98</v>
      </c>
      <c r="E53" s="31" t="s">
        <v>211</v>
      </c>
      <c r="F53" s="31" t="s">
        <v>80</v>
      </c>
      <c r="G53" s="34">
        <v>1416</v>
      </c>
      <c r="H53" s="31" t="s">
        <v>4</v>
      </c>
      <c r="I53" s="35">
        <f>Ühikhinnad!B4</f>
        <v>250</v>
      </c>
      <c r="J53" s="35">
        <f t="shared" si="6"/>
        <v>354000</v>
      </c>
      <c r="K53" s="35">
        <f>J53*0.12</f>
        <v>42480</v>
      </c>
      <c r="L53" s="35">
        <f>J53*0.06</f>
        <v>21240</v>
      </c>
      <c r="M53" s="34">
        <f t="shared" si="7"/>
        <v>417720</v>
      </c>
      <c r="N53" s="33"/>
      <c r="O53" s="31" t="s">
        <v>79</v>
      </c>
      <c r="P53" s="31" t="s">
        <v>104</v>
      </c>
      <c r="Q53" s="30"/>
    </row>
    <row r="54" spans="1:21" x14ac:dyDescent="0.35">
      <c r="A54" s="31" t="s">
        <v>76</v>
      </c>
      <c r="B54" s="31" t="s">
        <v>260</v>
      </c>
      <c r="C54" s="31" t="s">
        <v>19</v>
      </c>
      <c r="D54" s="32">
        <v>2027</v>
      </c>
      <c r="E54" s="31" t="s">
        <v>21</v>
      </c>
      <c r="F54" s="31" t="s">
        <v>93</v>
      </c>
      <c r="G54" s="34">
        <v>386</v>
      </c>
      <c r="H54" s="31" t="s">
        <v>4</v>
      </c>
      <c r="I54" s="35">
        <f>Ühikhinnad!B14</f>
        <v>120</v>
      </c>
      <c r="J54" s="35">
        <f t="shared" si="6"/>
        <v>46320</v>
      </c>
      <c r="K54" s="35">
        <f>J54*0.12</f>
        <v>5558.4</v>
      </c>
      <c r="L54" s="35">
        <f>J54*0.06</f>
        <v>2779.2</v>
      </c>
      <c r="M54" s="34">
        <f t="shared" si="7"/>
        <v>54657.599999999999</v>
      </c>
      <c r="N54" s="33"/>
      <c r="O54" s="31" t="s">
        <v>216</v>
      </c>
      <c r="P54" s="31" t="s">
        <v>104</v>
      </c>
      <c r="Q54" s="30"/>
    </row>
    <row r="55" spans="1:21" ht="29" x14ac:dyDescent="0.35">
      <c r="A55" s="31" t="s">
        <v>68</v>
      </c>
      <c r="B55" s="31" t="s">
        <v>18</v>
      </c>
      <c r="C55" s="31" t="s">
        <v>78</v>
      </c>
      <c r="D55" s="32" t="s">
        <v>98</v>
      </c>
      <c r="E55" s="31" t="s">
        <v>211</v>
      </c>
      <c r="F55" s="33" t="s">
        <v>185</v>
      </c>
      <c r="G55" s="34">
        <f>1625+675</f>
        <v>2300</v>
      </c>
      <c r="H55" s="31" t="s">
        <v>4</v>
      </c>
      <c r="I55" s="35">
        <f>Ühikhinnad!B4</f>
        <v>250</v>
      </c>
      <c r="J55" s="35">
        <f t="shared" si="6"/>
        <v>575000</v>
      </c>
      <c r="K55" s="35">
        <f>J55*0.12</f>
        <v>69000</v>
      </c>
      <c r="L55" s="35">
        <f>J55*0.06</f>
        <v>34500</v>
      </c>
      <c r="M55" s="34">
        <f t="shared" si="7"/>
        <v>678500</v>
      </c>
      <c r="N55" s="33"/>
      <c r="O55" s="31" t="s">
        <v>69</v>
      </c>
      <c r="P55" s="31"/>
      <c r="Q55" s="30"/>
    </row>
    <row r="56" spans="1:21" ht="49.25" customHeight="1" x14ac:dyDescent="0.35">
      <c r="A56" s="31" t="s">
        <v>68</v>
      </c>
      <c r="B56" s="31" t="s">
        <v>261</v>
      </c>
      <c r="C56" s="31" t="s">
        <v>78</v>
      </c>
      <c r="D56" s="32" t="s">
        <v>98</v>
      </c>
      <c r="E56" s="31" t="s">
        <v>211</v>
      </c>
      <c r="F56" s="33" t="s">
        <v>142</v>
      </c>
      <c r="G56" s="34">
        <v>2</v>
      </c>
      <c r="H56" s="31" t="s">
        <v>5</v>
      </c>
      <c r="I56" s="34">
        <f>Ühikhinnad!B17</f>
        <v>900</v>
      </c>
      <c r="J56" s="34">
        <f t="shared" si="6"/>
        <v>1800</v>
      </c>
      <c r="K56" s="34"/>
      <c r="L56" s="34"/>
      <c r="M56" s="34">
        <f t="shared" si="7"/>
        <v>1800</v>
      </c>
      <c r="N56" s="33" t="s">
        <v>174</v>
      </c>
      <c r="O56" s="31" t="s">
        <v>69</v>
      </c>
      <c r="P56" s="31"/>
      <c r="Q56" s="30"/>
    </row>
    <row r="57" spans="1:21" ht="29" x14ac:dyDescent="0.35">
      <c r="A57" s="31" t="s">
        <v>68</v>
      </c>
      <c r="B57" s="31" t="s">
        <v>8</v>
      </c>
      <c r="C57" s="31" t="s">
        <v>78</v>
      </c>
      <c r="D57" s="32" t="s">
        <v>98</v>
      </c>
      <c r="E57" s="31" t="s">
        <v>211</v>
      </c>
      <c r="F57" s="33" t="s">
        <v>184</v>
      </c>
      <c r="G57" s="31">
        <v>396</v>
      </c>
      <c r="H57" s="31" t="s">
        <v>4</v>
      </c>
      <c r="I57" s="35">
        <f>Ühikhinnad!B15</f>
        <v>160</v>
      </c>
      <c r="J57" s="35">
        <f t="shared" si="6"/>
        <v>63360</v>
      </c>
      <c r="K57" s="35">
        <f>J57*0.12</f>
        <v>7603.2</v>
      </c>
      <c r="L57" s="35">
        <f>J57*0.06</f>
        <v>3801.6</v>
      </c>
      <c r="M57" s="34">
        <f t="shared" si="7"/>
        <v>74764.800000000003</v>
      </c>
      <c r="N57" s="33" t="s">
        <v>252</v>
      </c>
      <c r="O57" s="31" t="s">
        <v>53</v>
      </c>
      <c r="P57" s="31"/>
      <c r="Q57" s="30"/>
    </row>
    <row r="58" spans="1:21" ht="29" x14ac:dyDescent="0.35">
      <c r="A58" s="31" t="s">
        <v>140</v>
      </c>
      <c r="B58" s="31" t="s">
        <v>261</v>
      </c>
      <c r="C58" s="31" t="s">
        <v>78</v>
      </c>
      <c r="D58" s="32" t="s">
        <v>98</v>
      </c>
      <c r="E58" s="33" t="s">
        <v>168</v>
      </c>
      <c r="F58" s="33" t="s">
        <v>176</v>
      </c>
      <c r="G58" s="31">
        <v>1</v>
      </c>
      <c r="H58" s="31" t="s">
        <v>5</v>
      </c>
      <c r="I58" s="31">
        <f>Ühikhinnad!B17</f>
        <v>900</v>
      </c>
      <c r="J58" s="34">
        <f t="shared" si="6"/>
        <v>900</v>
      </c>
      <c r="K58" s="34"/>
      <c r="L58" s="34"/>
      <c r="M58" s="34">
        <f t="shared" si="7"/>
        <v>900</v>
      </c>
      <c r="N58" s="33" t="s">
        <v>236</v>
      </c>
      <c r="O58" s="31" t="s">
        <v>141</v>
      </c>
      <c r="P58" s="31"/>
      <c r="Q58" s="30"/>
    </row>
    <row r="59" spans="1:21" x14ac:dyDescent="0.35">
      <c r="A59" s="31" t="s">
        <v>87</v>
      </c>
      <c r="B59" s="31" t="s">
        <v>18</v>
      </c>
      <c r="C59" s="31" t="s">
        <v>78</v>
      </c>
      <c r="D59" s="32" t="s">
        <v>98</v>
      </c>
      <c r="E59" s="31" t="s">
        <v>211</v>
      </c>
      <c r="F59" s="33" t="s">
        <v>88</v>
      </c>
      <c r="G59" s="34">
        <v>468</v>
      </c>
      <c r="H59" s="31" t="s">
        <v>4</v>
      </c>
      <c r="I59" s="35">
        <f>Ühikhinnad!B4</f>
        <v>250</v>
      </c>
      <c r="J59" s="35">
        <f t="shared" si="6"/>
        <v>117000</v>
      </c>
      <c r="K59" s="35">
        <f>J59*0.12</f>
        <v>14040</v>
      </c>
      <c r="L59" s="35">
        <f>J59*0.06</f>
        <v>7020</v>
      </c>
      <c r="M59" s="34">
        <f t="shared" si="7"/>
        <v>138060</v>
      </c>
      <c r="N59" s="31"/>
      <c r="O59" s="31" t="s">
        <v>89</v>
      </c>
      <c r="P59" s="31" t="s">
        <v>104</v>
      </c>
      <c r="Q59" s="30"/>
    </row>
    <row r="60" spans="1:21" x14ac:dyDescent="0.35">
      <c r="A60" s="31" t="s">
        <v>87</v>
      </c>
      <c r="B60" s="31" t="s">
        <v>18</v>
      </c>
      <c r="C60" s="31" t="s">
        <v>78</v>
      </c>
      <c r="D60" s="32" t="s">
        <v>98</v>
      </c>
      <c r="E60" s="31" t="s">
        <v>211</v>
      </c>
      <c r="F60" s="33" t="s">
        <v>229</v>
      </c>
      <c r="G60" s="34">
        <f>374+110</f>
        <v>484</v>
      </c>
      <c r="H60" s="31" t="s">
        <v>4</v>
      </c>
      <c r="I60" s="35">
        <f>Ühikhinnad!B4</f>
        <v>250</v>
      </c>
      <c r="J60" s="35">
        <f t="shared" si="6"/>
        <v>121000</v>
      </c>
      <c r="K60" s="35">
        <f>J60*0.12</f>
        <v>14520</v>
      </c>
      <c r="L60" s="35">
        <f>J60*0.06</f>
        <v>7260</v>
      </c>
      <c r="M60" s="34">
        <f t="shared" si="7"/>
        <v>142780</v>
      </c>
      <c r="N60" s="31"/>
      <c r="O60" s="31" t="s">
        <v>89</v>
      </c>
      <c r="P60" s="31" t="s">
        <v>104</v>
      </c>
      <c r="Q60" s="30"/>
    </row>
    <row r="61" spans="1:21" x14ac:dyDescent="0.35">
      <c r="A61" s="31" t="s">
        <v>87</v>
      </c>
      <c r="B61" s="31" t="s">
        <v>23</v>
      </c>
      <c r="C61" s="31" t="s">
        <v>78</v>
      </c>
      <c r="D61" s="32" t="s">
        <v>98</v>
      </c>
      <c r="E61" s="31" t="s">
        <v>211</v>
      </c>
      <c r="F61" s="33" t="s">
        <v>230</v>
      </c>
      <c r="G61" s="31">
        <f>690+850</f>
        <v>1540</v>
      </c>
      <c r="H61" s="31" t="s">
        <v>4</v>
      </c>
      <c r="I61" s="35">
        <f>Ühikhinnad!B16</f>
        <v>140</v>
      </c>
      <c r="J61" s="35">
        <f t="shared" si="6"/>
        <v>215600</v>
      </c>
      <c r="K61" s="35">
        <f>J61*0.12</f>
        <v>25872</v>
      </c>
      <c r="L61" s="35">
        <f>J61*0.06</f>
        <v>12936</v>
      </c>
      <c r="M61" s="34">
        <f t="shared" si="7"/>
        <v>254408</v>
      </c>
      <c r="N61" s="31"/>
      <c r="O61" s="31" t="s">
        <v>89</v>
      </c>
      <c r="P61" s="31" t="s">
        <v>104</v>
      </c>
      <c r="Q61" s="30"/>
    </row>
    <row r="62" spans="1:21" ht="29" x14ac:dyDescent="0.35">
      <c r="A62" s="31" t="s">
        <v>137</v>
      </c>
      <c r="B62" s="31" t="s">
        <v>261</v>
      </c>
      <c r="C62" s="31" t="s">
        <v>78</v>
      </c>
      <c r="D62" s="32" t="s">
        <v>98</v>
      </c>
      <c r="E62" s="33" t="s">
        <v>168</v>
      </c>
      <c r="F62" s="31" t="s">
        <v>138</v>
      </c>
      <c r="G62" s="31">
        <v>1</v>
      </c>
      <c r="H62" s="31" t="s">
        <v>5</v>
      </c>
      <c r="I62" s="31">
        <f>Ühikhinnad!B17</f>
        <v>900</v>
      </c>
      <c r="J62" s="34">
        <f t="shared" si="6"/>
        <v>900</v>
      </c>
      <c r="K62" s="34"/>
      <c r="L62" s="34"/>
      <c r="M62" s="34">
        <f t="shared" si="7"/>
        <v>900</v>
      </c>
      <c r="N62" s="33" t="s">
        <v>235</v>
      </c>
      <c r="O62" s="31" t="s">
        <v>139</v>
      </c>
      <c r="P62" s="31"/>
      <c r="Q62" s="30"/>
    </row>
    <row r="63" spans="1:21" x14ac:dyDescent="0.35">
      <c r="A63" s="31" t="s">
        <v>70</v>
      </c>
      <c r="B63" s="31" t="s">
        <v>18</v>
      </c>
      <c r="C63" s="31" t="s">
        <v>78</v>
      </c>
      <c r="D63" s="32" t="s">
        <v>98</v>
      </c>
      <c r="E63" s="31" t="s">
        <v>211</v>
      </c>
      <c r="F63" s="33" t="s">
        <v>74</v>
      </c>
      <c r="G63" s="34">
        <v>1091</v>
      </c>
      <c r="H63" s="31" t="s">
        <v>4</v>
      </c>
      <c r="I63" s="35">
        <f>Ühikhinnad!B4</f>
        <v>250</v>
      </c>
      <c r="J63" s="35">
        <f t="shared" si="6"/>
        <v>272750</v>
      </c>
      <c r="K63" s="35">
        <f>J63*0.12</f>
        <v>32730</v>
      </c>
      <c r="L63" s="35">
        <f>J63*0.06</f>
        <v>16365</v>
      </c>
      <c r="M63" s="34">
        <f t="shared" si="7"/>
        <v>321845</v>
      </c>
      <c r="N63" s="38"/>
      <c r="O63" s="31" t="s">
        <v>75</v>
      </c>
      <c r="P63" s="31"/>
      <c r="Q63" s="30"/>
      <c r="U63" s="26"/>
    </row>
    <row r="64" spans="1:21" ht="29" x14ac:dyDescent="0.35">
      <c r="A64" s="31" t="s">
        <v>70</v>
      </c>
      <c r="B64" s="31" t="s">
        <v>8</v>
      </c>
      <c r="C64" s="31" t="s">
        <v>78</v>
      </c>
      <c r="D64" s="32" t="s">
        <v>98</v>
      </c>
      <c r="E64" s="31" t="s">
        <v>211</v>
      </c>
      <c r="F64" s="33" t="s">
        <v>186</v>
      </c>
      <c r="G64" s="34">
        <v>1370</v>
      </c>
      <c r="H64" s="31" t="s">
        <v>4</v>
      </c>
      <c r="I64" s="35">
        <f>Ühikhinnad!B15</f>
        <v>160</v>
      </c>
      <c r="J64" s="35">
        <f t="shared" si="6"/>
        <v>219200</v>
      </c>
      <c r="K64" s="35">
        <f>J64*0.12</f>
        <v>26304</v>
      </c>
      <c r="L64" s="35">
        <f>J64*0.06</f>
        <v>13152</v>
      </c>
      <c r="M64" s="34">
        <f t="shared" si="7"/>
        <v>258656</v>
      </c>
      <c r="N64" s="33" t="s">
        <v>254</v>
      </c>
      <c r="O64" s="31" t="s">
        <v>72</v>
      </c>
      <c r="P64" s="31"/>
      <c r="Q64" s="30"/>
    </row>
    <row r="65" spans="1:17" ht="29" x14ac:dyDescent="0.35">
      <c r="A65" s="31" t="s">
        <v>70</v>
      </c>
      <c r="B65" s="31" t="s">
        <v>66</v>
      </c>
      <c r="C65" s="31" t="s">
        <v>78</v>
      </c>
      <c r="D65" s="32" t="s">
        <v>98</v>
      </c>
      <c r="E65" s="31" t="s">
        <v>211</v>
      </c>
      <c r="F65" s="33" t="s">
        <v>135</v>
      </c>
      <c r="G65" s="34">
        <v>1</v>
      </c>
      <c r="H65" s="31" t="s">
        <v>5</v>
      </c>
      <c r="I65" s="34">
        <f>Ühikhinnad!B19</f>
        <v>6500</v>
      </c>
      <c r="J65" s="34">
        <f t="shared" si="6"/>
        <v>6500</v>
      </c>
      <c r="K65" s="35">
        <f>J65*0.12</f>
        <v>780</v>
      </c>
      <c r="L65" s="35">
        <f>J65*0.06</f>
        <v>390</v>
      </c>
      <c r="M65" s="34">
        <f t="shared" si="7"/>
        <v>7670</v>
      </c>
      <c r="N65" s="33" t="s">
        <v>175</v>
      </c>
      <c r="O65" s="31" t="s">
        <v>136</v>
      </c>
      <c r="P65" s="31"/>
      <c r="Q65" s="30"/>
    </row>
    <row r="66" spans="1:17" ht="29" x14ac:dyDescent="0.35">
      <c r="A66" s="31" t="s">
        <v>64</v>
      </c>
      <c r="B66" s="31" t="s">
        <v>260</v>
      </c>
      <c r="C66" s="31" t="s">
        <v>78</v>
      </c>
      <c r="D66" s="32" t="s">
        <v>98</v>
      </c>
      <c r="E66" s="31" t="s">
        <v>21</v>
      </c>
      <c r="F66" s="33" t="s">
        <v>65</v>
      </c>
      <c r="G66" s="34">
        <f>1689+65</f>
        <v>1754</v>
      </c>
      <c r="H66" s="31" t="s">
        <v>4</v>
      </c>
      <c r="I66" s="35">
        <f>Ühikhinnad!B13</f>
        <v>88</v>
      </c>
      <c r="J66" s="35">
        <f t="shared" si="6"/>
        <v>154352</v>
      </c>
      <c r="K66" s="35">
        <f>J66*0.12</f>
        <v>18522.239999999998</v>
      </c>
      <c r="L66" s="35">
        <f>J66*0.06</f>
        <v>9261.119999999999</v>
      </c>
      <c r="M66" s="34">
        <f t="shared" si="7"/>
        <v>182135.36</v>
      </c>
      <c r="N66" s="33" t="s">
        <v>253</v>
      </c>
      <c r="O66" s="31" t="s">
        <v>60</v>
      </c>
      <c r="P66" s="31" t="s">
        <v>103</v>
      </c>
      <c r="Q66" s="30"/>
    </row>
    <row r="67" spans="1:17" ht="29" x14ac:dyDescent="0.35">
      <c r="A67" s="31" t="s">
        <v>64</v>
      </c>
      <c r="B67" s="31" t="s">
        <v>261</v>
      </c>
      <c r="C67" s="31" t="s">
        <v>78</v>
      </c>
      <c r="D67" s="32" t="s">
        <v>98</v>
      </c>
      <c r="E67" s="33" t="s">
        <v>21</v>
      </c>
      <c r="F67" s="33" t="s">
        <v>172</v>
      </c>
      <c r="G67" s="34">
        <v>2</v>
      </c>
      <c r="H67" s="31" t="s">
        <v>5</v>
      </c>
      <c r="I67" s="34">
        <f>Ühikhinnad!B18</f>
        <v>700</v>
      </c>
      <c r="J67" s="34">
        <f t="shared" si="6"/>
        <v>1400</v>
      </c>
      <c r="K67" s="34"/>
      <c r="L67" s="34"/>
      <c r="M67" s="34">
        <f t="shared" si="7"/>
        <v>1400</v>
      </c>
      <c r="N67" s="33"/>
      <c r="O67" s="31" t="s">
        <v>60</v>
      </c>
      <c r="P67" s="31" t="s">
        <v>103</v>
      </c>
      <c r="Q67" s="30"/>
    </row>
    <row r="68" spans="1:17" x14ac:dyDescent="0.35">
      <c r="A68" s="31" t="s">
        <v>64</v>
      </c>
      <c r="B68" s="31" t="s">
        <v>260</v>
      </c>
      <c r="C68" s="31" t="s">
        <v>78</v>
      </c>
      <c r="D68" s="32" t="s">
        <v>98</v>
      </c>
      <c r="E68" s="31" t="s">
        <v>211</v>
      </c>
      <c r="F68" s="33" t="s">
        <v>95</v>
      </c>
      <c r="G68" s="34">
        <v>1807</v>
      </c>
      <c r="H68" s="31" t="s">
        <v>4</v>
      </c>
      <c r="I68" s="35">
        <f>Ühikhinnad!B13</f>
        <v>88</v>
      </c>
      <c r="J68" s="35">
        <f t="shared" ref="J68:J81" si="10">G68*I68</f>
        <v>159016</v>
      </c>
      <c r="K68" s="35"/>
      <c r="L68" s="35"/>
      <c r="M68" s="34">
        <f t="shared" ref="M68:M95" si="11">SUM(J68:L68)</f>
        <v>159016</v>
      </c>
      <c r="N68" s="33"/>
      <c r="O68" s="31" t="s">
        <v>60</v>
      </c>
      <c r="P68" s="31" t="s">
        <v>103</v>
      </c>
      <c r="Q68" s="30"/>
    </row>
    <row r="69" spans="1:17" ht="43.5" x14ac:dyDescent="0.35">
      <c r="A69" s="31" t="s">
        <v>64</v>
      </c>
      <c r="B69" s="31" t="s">
        <v>261</v>
      </c>
      <c r="C69" s="31" t="s">
        <v>78</v>
      </c>
      <c r="D69" s="32" t="s">
        <v>98</v>
      </c>
      <c r="E69" s="31" t="s">
        <v>211</v>
      </c>
      <c r="F69" s="33" t="s">
        <v>173</v>
      </c>
      <c r="G69" s="34">
        <v>4</v>
      </c>
      <c r="H69" s="31" t="s">
        <v>5</v>
      </c>
      <c r="I69" s="34">
        <f>Ühikhinnad!B17</f>
        <v>900</v>
      </c>
      <c r="J69" s="34">
        <f t="shared" si="10"/>
        <v>3600</v>
      </c>
      <c r="K69" s="34"/>
      <c r="L69" s="34"/>
      <c r="M69" s="34">
        <f t="shared" si="11"/>
        <v>3600</v>
      </c>
      <c r="N69" s="33" t="s">
        <v>226</v>
      </c>
      <c r="O69" s="31" t="s">
        <v>60</v>
      </c>
      <c r="P69" s="31" t="s">
        <v>103</v>
      </c>
      <c r="Q69" s="30"/>
    </row>
    <row r="70" spans="1:17" ht="43.5" x14ac:dyDescent="0.35">
      <c r="A70" s="31" t="s">
        <v>64</v>
      </c>
      <c r="B70" s="31" t="s">
        <v>260</v>
      </c>
      <c r="C70" s="31" t="s">
        <v>78</v>
      </c>
      <c r="D70" s="32" t="s">
        <v>98</v>
      </c>
      <c r="E70" s="33" t="s">
        <v>153</v>
      </c>
      <c r="F70" s="33" t="s">
        <v>133</v>
      </c>
      <c r="G70" s="34">
        <v>858</v>
      </c>
      <c r="H70" s="31" t="s">
        <v>4</v>
      </c>
      <c r="I70" s="35">
        <f>Ühikhinnad!B13</f>
        <v>88</v>
      </c>
      <c r="J70" s="35">
        <f t="shared" si="10"/>
        <v>75504</v>
      </c>
      <c r="K70" s="35"/>
      <c r="L70" s="35"/>
      <c r="M70" s="34">
        <f t="shared" si="11"/>
        <v>75504</v>
      </c>
      <c r="N70" s="33" t="s">
        <v>201</v>
      </c>
      <c r="O70" s="31" t="s">
        <v>60</v>
      </c>
      <c r="P70" s="31" t="s">
        <v>103</v>
      </c>
      <c r="Q70" s="30"/>
    </row>
    <row r="71" spans="1:17" x14ac:dyDescent="0.35">
      <c r="A71" s="31" t="s">
        <v>64</v>
      </c>
      <c r="B71" s="31" t="s">
        <v>261</v>
      </c>
      <c r="C71" s="31" t="s">
        <v>78</v>
      </c>
      <c r="D71" s="32" t="s">
        <v>98</v>
      </c>
      <c r="E71" s="33" t="s">
        <v>21</v>
      </c>
      <c r="F71" s="33" t="s">
        <v>134</v>
      </c>
      <c r="G71" s="34">
        <v>1</v>
      </c>
      <c r="H71" s="31" t="s">
        <v>5</v>
      </c>
      <c r="I71" s="34">
        <f>Ühikhinnad!B18</f>
        <v>700</v>
      </c>
      <c r="J71" s="34">
        <f t="shared" si="10"/>
        <v>700</v>
      </c>
      <c r="K71" s="34"/>
      <c r="L71" s="34"/>
      <c r="M71" s="34">
        <f t="shared" si="11"/>
        <v>700</v>
      </c>
      <c r="N71" s="41" t="s">
        <v>220</v>
      </c>
      <c r="O71" s="31" t="s">
        <v>60</v>
      </c>
      <c r="P71" s="31"/>
      <c r="Q71" s="30"/>
    </row>
    <row r="72" spans="1:17" ht="101.5" x14ac:dyDescent="0.35">
      <c r="A72" s="31" t="s">
        <v>64</v>
      </c>
      <c r="B72" s="31" t="s">
        <v>66</v>
      </c>
      <c r="C72" s="31" t="s">
        <v>78</v>
      </c>
      <c r="D72" s="32" t="s">
        <v>98</v>
      </c>
      <c r="E72" s="33" t="s">
        <v>153</v>
      </c>
      <c r="F72" s="33" t="s">
        <v>67</v>
      </c>
      <c r="G72" s="34">
        <v>1</v>
      </c>
      <c r="H72" s="31" t="s">
        <v>5</v>
      </c>
      <c r="I72" s="34">
        <f>Ühikhinnad!B19</f>
        <v>6500</v>
      </c>
      <c r="J72" s="34">
        <f t="shared" si="10"/>
        <v>6500</v>
      </c>
      <c r="K72" s="35">
        <f>J72*0.12</f>
        <v>780</v>
      </c>
      <c r="L72" s="35">
        <f>J72*0.06</f>
        <v>390</v>
      </c>
      <c r="M72" s="34">
        <f t="shared" si="11"/>
        <v>7670</v>
      </c>
      <c r="N72" s="33" t="s">
        <v>219</v>
      </c>
      <c r="O72" s="31" t="s">
        <v>53</v>
      </c>
      <c r="P72" s="31" t="s">
        <v>103</v>
      </c>
      <c r="Q72" s="30"/>
    </row>
    <row r="73" spans="1:17" x14ac:dyDescent="0.35">
      <c r="A73" s="31" t="s">
        <v>64</v>
      </c>
      <c r="B73" s="31" t="s">
        <v>8</v>
      </c>
      <c r="C73" s="31" t="s">
        <v>78</v>
      </c>
      <c r="D73" s="32" t="s">
        <v>98</v>
      </c>
      <c r="E73" s="31" t="s">
        <v>211</v>
      </c>
      <c r="F73" s="33" t="s">
        <v>183</v>
      </c>
      <c r="G73" s="34">
        <v>645</v>
      </c>
      <c r="H73" s="31" t="s">
        <v>4</v>
      </c>
      <c r="I73" s="35">
        <f>Ühikhinnad!B15</f>
        <v>160</v>
      </c>
      <c r="J73" s="35">
        <f t="shared" si="10"/>
        <v>103200</v>
      </c>
      <c r="K73" s="35">
        <f>J73*0.12</f>
        <v>12384</v>
      </c>
      <c r="L73" s="35">
        <f>J73*0.06</f>
        <v>6192</v>
      </c>
      <c r="M73" s="34">
        <f t="shared" si="11"/>
        <v>121776</v>
      </c>
      <c r="N73" s="33" t="s">
        <v>255</v>
      </c>
      <c r="O73" s="31" t="s">
        <v>53</v>
      </c>
      <c r="P73" s="31" t="s">
        <v>103</v>
      </c>
      <c r="Q73" s="30"/>
    </row>
    <row r="74" spans="1:17" x14ac:dyDescent="0.35">
      <c r="A74" s="31" t="s">
        <v>125</v>
      </c>
      <c r="B74" s="31" t="s">
        <v>261</v>
      </c>
      <c r="C74" s="31" t="s">
        <v>78</v>
      </c>
      <c r="D74" s="32" t="s">
        <v>98</v>
      </c>
      <c r="E74" s="33" t="s">
        <v>21</v>
      </c>
      <c r="F74" s="33" t="s">
        <v>126</v>
      </c>
      <c r="G74" s="31">
        <v>1</v>
      </c>
      <c r="H74" s="31" t="s">
        <v>5</v>
      </c>
      <c r="I74" s="31">
        <f>Ühikhinnad!B20</f>
        <v>3500</v>
      </c>
      <c r="J74" s="34">
        <f t="shared" si="10"/>
        <v>3500</v>
      </c>
      <c r="K74" s="35">
        <f>J74*0.12</f>
        <v>420</v>
      </c>
      <c r="L74" s="35">
        <f>J74*0.06</f>
        <v>210</v>
      </c>
      <c r="M74" s="34">
        <f t="shared" si="11"/>
        <v>4130</v>
      </c>
      <c r="N74" s="33" t="s">
        <v>224</v>
      </c>
      <c r="O74" s="31" t="s">
        <v>127</v>
      </c>
      <c r="P74" s="31"/>
      <c r="Q74" s="30"/>
    </row>
    <row r="75" spans="1:17" ht="29" x14ac:dyDescent="0.35">
      <c r="A75" s="31" t="s">
        <v>125</v>
      </c>
      <c r="B75" s="31" t="s">
        <v>261</v>
      </c>
      <c r="C75" s="31" t="s">
        <v>78</v>
      </c>
      <c r="D75" s="32" t="s">
        <v>98</v>
      </c>
      <c r="E75" s="33" t="s">
        <v>168</v>
      </c>
      <c r="F75" s="33" t="s">
        <v>131</v>
      </c>
      <c r="G75" s="31">
        <v>1</v>
      </c>
      <c r="H75" s="31" t="s">
        <v>5</v>
      </c>
      <c r="I75" s="31">
        <f>Ühikhinnad!B17</f>
        <v>900</v>
      </c>
      <c r="J75" s="34">
        <f t="shared" si="10"/>
        <v>900</v>
      </c>
      <c r="K75" s="34"/>
      <c r="L75" s="34"/>
      <c r="M75" s="34">
        <f t="shared" si="11"/>
        <v>900</v>
      </c>
      <c r="N75" s="33" t="s">
        <v>234</v>
      </c>
      <c r="O75" s="31" t="s">
        <v>132</v>
      </c>
      <c r="P75" s="31"/>
      <c r="Q75" s="30"/>
    </row>
    <row r="76" spans="1:17" x14ac:dyDescent="0.35">
      <c r="A76" s="31" t="s">
        <v>125</v>
      </c>
      <c r="B76" s="31" t="s">
        <v>261</v>
      </c>
      <c r="C76" s="31" t="s">
        <v>78</v>
      </c>
      <c r="D76" s="32" t="s">
        <v>98</v>
      </c>
      <c r="E76" s="33" t="s">
        <v>21</v>
      </c>
      <c r="F76" s="31" t="s">
        <v>130</v>
      </c>
      <c r="G76" s="31">
        <v>1</v>
      </c>
      <c r="H76" s="31" t="s">
        <v>5</v>
      </c>
      <c r="I76" s="31">
        <f>Ühikhinnad!B18</f>
        <v>700</v>
      </c>
      <c r="J76" s="42">
        <f t="shared" si="10"/>
        <v>700</v>
      </c>
      <c r="K76" s="42"/>
      <c r="L76" s="42"/>
      <c r="M76" s="34">
        <f t="shared" si="11"/>
        <v>700</v>
      </c>
      <c r="N76" s="33" t="s">
        <v>222</v>
      </c>
      <c r="O76" s="31" t="s">
        <v>129</v>
      </c>
      <c r="P76" s="31"/>
      <c r="Q76" s="30"/>
    </row>
    <row r="77" spans="1:17" ht="29" x14ac:dyDescent="0.35">
      <c r="A77" s="31" t="s">
        <v>125</v>
      </c>
      <c r="B77" s="31" t="s">
        <v>261</v>
      </c>
      <c r="C77" s="31" t="s">
        <v>78</v>
      </c>
      <c r="D77" s="32" t="s">
        <v>98</v>
      </c>
      <c r="E77" s="33" t="s">
        <v>168</v>
      </c>
      <c r="F77" s="33" t="s">
        <v>128</v>
      </c>
      <c r="G77" s="31">
        <v>1</v>
      </c>
      <c r="H77" s="31" t="s">
        <v>5</v>
      </c>
      <c r="I77" s="31">
        <f>Ühikhinnad!B20</f>
        <v>3500</v>
      </c>
      <c r="J77" s="42">
        <f t="shared" si="10"/>
        <v>3500</v>
      </c>
      <c r="K77" s="35">
        <f>J77*0.12</f>
        <v>420</v>
      </c>
      <c r="L77" s="35">
        <f>J77*0.06</f>
        <v>210</v>
      </c>
      <c r="M77" s="34">
        <f t="shared" si="11"/>
        <v>4130</v>
      </c>
      <c r="N77" s="33" t="s">
        <v>232</v>
      </c>
      <c r="O77" s="31" t="s">
        <v>129</v>
      </c>
      <c r="P77" s="31"/>
      <c r="Q77" s="30"/>
    </row>
    <row r="78" spans="1:17" ht="29" x14ac:dyDescent="0.35">
      <c r="A78" s="31" t="s">
        <v>122</v>
      </c>
      <c r="B78" s="31" t="s">
        <v>261</v>
      </c>
      <c r="C78" s="31" t="s">
        <v>78</v>
      </c>
      <c r="D78" s="32" t="s">
        <v>98</v>
      </c>
      <c r="E78" s="33" t="s">
        <v>168</v>
      </c>
      <c r="F78" s="33" t="s">
        <v>123</v>
      </c>
      <c r="G78" s="31">
        <v>1</v>
      </c>
      <c r="H78" s="31" t="s">
        <v>5</v>
      </c>
      <c r="I78" s="31">
        <f>Ühikhinnad!B20</f>
        <v>3500</v>
      </c>
      <c r="J78" s="34">
        <f t="shared" si="10"/>
        <v>3500</v>
      </c>
      <c r="K78" s="35">
        <f>J78*0.12</f>
        <v>420</v>
      </c>
      <c r="L78" s="35">
        <f>J78*0.06</f>
        <v>210</v>
      </c>
      <c r="M78" s="34">
        <f t="shared" si="11"/>
        <v>4130</v>
      </c>
      <c r="N78" s="33" t="s">
        <v>227</v>
      </c>
      <c r="O78" s="31" t="s">
        <v>124</v>
      </c>
      <c r="P78" s="31"/>
      <c r="Q78" s="30"/>
    </row>
    <row r="79" spans="1:17" ht="29" x14ac:dyDescent="0.35">
      <c r="A79" s="31" t="s">
        <v>119</v>
      </c>
      <c r="B79" s="31" t="s">
        <v>261</v>
      </c>
      <c r="C79" s="31" t="s">
        <v>78</v>
      </c>
      <c r="D79" s="32" t="s">
        <v>98</v>
      </c>
      <c r="E79" s="33" t="s">
        <v>21</v>
      </c>
      <c r="F79" s="33" t="s">
        <v>264</v>
      </c>
      <c r="G79" s="31">
        <v>1</v>
      </c>
      <c r="H79" s="31" t="s">
        <v>5</v>
      </c>
      <c r="I79" s="31">
        <f>Ühikhinnad!B20</f>
        <v>3500</v>
      </c>
      <c r="J79" s="34">
        <f t="shared" si="10"/>
        <v>3500</v>
      </c>
      <c r="K79" s="35">
        <f>J79*0.12</f>
        <v>420</v>
      </c>
      <c r="L79" s="35">
        <f>J79*0.06</f>
        <v>210</v>
      </c>
      <c r="M79" s="34">
        <f t="shared" si="11"/>
        <v>4130</v>
      </c>
      <c r="N79" s="33" t="s">
        <v>265</v>
      </c>
      <c r="O79" s="31" t="s">
        <v>129</v>
      </c>
      <c r="P79" s="31"/>
      <c r="Q79" s="30"/>
    </row>
    <row r="80" spans="1:17" x14ac:dyDescent="0.35">
      <c r="A80" s="31" t="s">
        <v>119</v>
      </c>
      <c r="B80" s="31" t="s">
        <v>261</v>
      </c>
      <c r="C80" s="31" t="s">
        <v>78</v>
      </c>
      <c r="D80" s="32" t="s">
        <v>98</v>
      </c>
      <c r="E80" s="33" t="s">
        <v>21</v>
      </c>
      <c r="F80" s="33" t="s">
        <v>121</v>
      </c>
      <c r="G80" s="31">
        <v>1</v>
      </c>
      <c r="H80" s="31" t="s">
        <v>5</v>
      </c>
      <c r="I80" s="31">
        <f>Ühikhinnad!B18</f>
        <v>700</v>
      </c>
      <c r="J80" s="42">
        <f t="shared" si="10"/>
        <v>700</v>
      </c>
      <c r="K80" s="42"/>
      <c r="L80" s="42"/>
      <c r="M80" s="34">
        <f t="shared" si="11"/>
        <v>700</v>
      </c>
      <c r="N80" s="43" t="s">
        <v>223</v>
      </c>
      <c r="O80" s="31" t="s">
        <v>120</v>
      </c>
      <c r="P80" s="31"/>
      <c r="Q80" s="30"/>
    </row>
    <row r="81" spans="1:17" ht="29" x14ac:dyDescent="0.35">
      <c r="A81" s="31" t="s">
        <v>116</v>
      </c>
      <c r="B81" s="31" t="s">
        <v>261</v>
      </c>
      <c r="C81" s="31" t="s">
        <v>78</v>
      </c>
      <c r="D81" s="32" t="s">
        <v>98</v>
      </c>
      <c r="E81" s="33" t="s">
        <v>168</v>
      </c>
      <c r="F81" s="33" t="s">
        <v>117</v>
      </c>
      <c r="G81" s="31">
        <v>1</v>
      </c>
      <c r="H81" s="31" t="s">
        <v>5</v>
      </c>
      <c r="I81" s="31">
        <f>Ühikhinnad!B20</f>
        <v>3500</v>
      </c>
      <c r="J81" s="34">
        <f t="shared" si="10"/>
        <v>3500</v>
      </c>
      <c r="K81" s="35">
        <f>J81*0.12</f>
        <v>420</v>
      </c>
      <c r="L81" s="35">
        <f>J81*0.06</f>
        <v>210</v>
      </c>
      <c r="M81" s="34">
        <f t="shared" si="11"/>
        <v>4130</v>
      </c>
      <c r="N81" s="33" t="s">
        <v>231</v>
      </c>
      <c r="O81" s="31" t="s">
        <v>118</v>
      </c>
      <c r="P81" s="31"/>
      <c r="Q81" s="30"/>
    </row>
    <row r="82" spans="1:17" ht="29" x14ac:dyDescent="0.35">
      <c r="A82" s="31" t="s">
        <v>17</v>
      </c>
      <c r="B82" s="31" t="s">
        <v>18</v>
      </c>
      <c r="C82" s="31" t="s">
        <v>19</v>
      </c>
      <c r="D82" s="32" t="s">
        <v>196</v>
      </c>
      <c r="E82" s="31" t="s">
        <v>21</v>
      </c>
      <c r="F82" s="33" t="s">
        <v>26</v>
      </c>
      <c r="G82" s="34">
        <v>1665</v>
      </c>
      <c r="H82" s="31" t="s">
        <v>4</v>
      </c>
      <c r="I82" s="35">
        <v>170</v>
      </c>
      <c r="J82" s="35">
        <f>305060-J83</f>
        <v>280060</v>
      </c>
      <c r="K82" s="35">
        <f>J82*0.12</f>
        <v>33607.199999999997</v>
      </c>
      <c r="L82" s="35">
        <f>J82*0.06</f>
        <v>16803.599999999999</v>
      </c>
      <c r="M82" s="34">
        <f t="shared" si="11"/>
        <v>330470.8</v>
      </c>
      <c r="N82" s="33" t="s">
        <v>204</v>
      </c>
      <c r="O82" s="31" t="s">
        <v>35</v>
      </c>
      <c r="P82" s="31" t="s">
        <v>103</v>
      </c>
      <c r="Q82" s="30"/>
    </row>
    <row r="83" spans="1:17" ht="29" x14ac:dyDescent="0.35">
      <c r="A83" s="31" t="s">
        <v>17</v>
      </c>
      <c r="B83" s="31" t="s">
        <v>23</v>
      </c>
      <c r="C83" s="31" t="s">
        <v>19</v>
      </c>
      <c r="D83" s="32" t="s">
        <v>196</v>
      </c>
      <c r="E83" s="31" t="s">
        <v>21</v>
      </c>
      <c r="F83" s="33" t="s">
        <v>24</v>
      </c>
      <c r="G83" s="34">
        <v>460</v>
      </c>
      <c r="H83" s="31" t="s">
        <v>4</v>
      </c>
      <c r="I83" s="35">
        <v>55</v>
      </c>
      <c r="J83" s="35">
        <v>25000</v>
      </c>
      <c r="K83" s="35">
        <f>J83*0.12</f>
        <v>3000</v>
      </c>
      <c r="L83" s="35">
        <f>J83*0.06</f>
        <v>1500</v>
      </c>
      <c r="M83" s="34">
        <f t="shared" si="11"/>
        <v>29500</v>
      </c>
      <c r="N83" s="33" t="s">
        <v>204</v>
      </c>
      <c r="O83" s="31" t="s">
        <v>35</v>
      </c>
      <c r="P83" s="31" t="s">
        <v>103</v>
      </c>
      <c r="Q83" s="30"/>
    </row>
    <row r="84" spans="1:17" ht="29" x14ac:dyDescent="0.35">
      <c r="A84" s="31" t="s">
        <v>17</v>
      </c>
      <c r="B84" s="31" t="s">
        <v>18</v>
      </c>
      <c r="C84" s="31" t="s">
        <v>19</v>
      </c>
      <c r="D84" s="32" t="s">
        <v>99</v>
      </c>
      <c r="E84" s="31" t="s">
        <v>211</v>
      </c>
      <c r="F84" s="33" t="s">
        <v>101</v>
      </c>
      <c r="G84" s="34">
        <f>136.8+135.7</f>
        <v>272.5</v>
      </c>
      <c r="H84" s="31" t="s">
        <v>4</v>
      </c>
      <c r="I84" s="35">
        <f>Ühikhinnad!B5</f>
        <v>190</v>
      </c>
      <c r="J84" s="35">
        <f t="shared" ref="J84:J95" si="12">G84*I84</f>
        <v>51775</v>
      </c>
      <c r="K84" s="35">
        <f>J84*0.12</f>
        <v>6213</v>
      </c>
      <c r="L84" s="35">
        <f>J84*0.06</f>
        <v>3106.5</v>
      </c>
      <c r="M84" s="34">
        <f t="shared" si="11"/>
        <v>61094.5</v>
      </c>
      <c r="N84" s="33"/>
      <c r="O84" s="31" t="s">
        <v>36</v>
      </c>
      <c r="P84" s="31" t="s">
        <v>103</v>
      </c>
      <c r="Q84" s="30"/>
    </row>
    <row r="85" spans="1:17" ht="29" x14ac:dyDescent="0.35">
      <c r="A85" s="31" t="s">
        <v>17</v>
      </c>
      <c r="B85" s="31" t="s">
        <v>8</v>
      </c>
      <c r="C85" s="31" t="s">
        <v>78</v>
      </c>
      <c r="D85" s="32" t="s">
        <v>99</v>
      </c>
      <c r="E85" s="31" t="s">
        <v>211</v>
      </c>
      <c r="F85" s="33" t="s">
        <v>28</v>
      </c>
      <c r="G85" s="34">
        <v>288</v>
      </c>
      <c r="H85" s="31" t="s">
        <v>4</v>
      </c>
      <c r="I85" s="35">
        <f>Ühikhinnad!B15</f>
        <v>160</v>
      </c>
      <c r="J85" s="35">
        <f t="shared" si="12"/>
        <v>46080</v>
      </c>
      <c r="K85" s="35">
        <f>J85*0.12</f>
        <v>5529.5999999999995</v>
      </c>
      <c r="L85" s="35">
        <f>J85*0.06</f>
        <v>2764.7999999999997</v>
      </c>
      <c r="M85" s="34">
        <f t="shared" si="11"/>
        <v>54374.400000000001</v>
      </c>
      <c r="N85" s="33" t="s">
        <v>256</v>
      </c>
      <c r="O85" s="31" t="s">
        <v>36</v>
      </c>
      <c r="P85" s="31" t="s">
        <v>103</v>
      </c>
      <c r="Q85" s="30"/>
    </row>
    <row r="86" spans="1:17" x14ac:dyDescent="0.35">
      <c r="A86" s="31" t="s">
        <v>17</v>
      </c>
      <c r="B86" s="31" t="s">
        <v>260</v>
      </c>
      <c r="C86" s="31" t="s">
        <v>19</v>
      </c>
      <c r="D86" s="32">
        <v>2027</v>
      </c>
      <c r="E86" s="31" t="s">
        <v>21</v>
      </c>
      <c r="F86" s="33" t="s">
        <v>29</v>
      </c>
      <c r="G86" s="34">
        <v>113</v>
      </c>
      <c r="H86" s="31" t="s">
        <v>4</v>
      </c>
      <c r="I86" s="35">
        <f>Ühikhinnad!B12</f>
        <v>70</v>
      </c>
      <c r="J86" s="35">
        <f t="shared" si="12"/>
        <v>7910</v>
      </c>
      <c r="K86" s="35"/>
      <c r="L86" s="35"/>
      <c r="M86" s="34">
        <f t="shared" si="11"/>
        <v>7910</v>
      </c>
      <c r="N86" s="33"/>
      <c r="O86" s="31" t="s">
        <v>36</v>
      </c>
      <c r="P86" s="31" t="s">
        <v>103</v>
      </c>
      <c r="Q86" s="30"/>
    </row>
    <row r="87" spans="1:17" ht="29" x14ac:dyDescent="0.35">
      <c r="A87" s="31" t="s">
        <v>17</v>
      </c>
      <c r="B87" s="31" t="s">
        <v>260</v>
      </c>
      <c r="C87" s="31" t="s">
        <v>19</v>
      </c>
      <c r="D87" s="32">
        <v>2027</v>
      </c>
      <c r="E87" s="31" t="s">
        <v>21</v>
      </c>
      <c r="F87" s="33" t="s">
        <v>30</v>
      </c>
      <c r="G87" s="34">
        <v>347.5</v>
      </c>
      <c r="H87" s="31" t="s">
        <v>4</v>
      </c>
      <c r="I87" s="35">
        <f>Ühikhinnad!B14</f>
        <v>120</v>
      </c>
      <c r="J87" s="35">
        <f t="shared" si="12"/>
        <v>41700</v>
      </c>
      <c r="K87" s="35"/>
      <c r="L87" s="35"/>
      <c r="M87" s="34">
        <f t="shared" si="11"/>
        <v>41700</v>
      </c>
      <c r="N87" s="33"/>
      <c r="O87" s="31" t="s">
        <v>36</v>
      </c>
      <c r="P87" s="31" t="s">
        <v>103</v>
      </c>
      <c r="Q87" s="30"/>
    </row>
    <row r="88" spans="1:17" ht="29" x14ac:dyDescent="0.35">
      <c r="A88" s="31" t="s">
        <v>17</v>
      </c>
      <c r="B88" s="31" t="s">
        <v>8</v>
      </c>
      <c r="C88" s="31" t="s">
        <v>19</v>
      </c>
      <c r="D88" s="32">
        <v>2027</v>
      </c>
      <c r="E88" s="31" t="s">
        <v>21</v>
      </c>
      <c r="F88" s="33" t="s">
        <v>212</v>
      </c>
      <c r="G88" s="34">
        <v>130</v>
      </c>
      <c r="H88" s="31" t="s">
        <v>4</v>
      </c>
      <c r="I88" s="35">
        <f>Ühikhinnad!B14</f>
        <v>120</v>
      </c>
      <c r="J88" s="35">
        <f t="shared" si="12"/>
        <v>15600</v>
      </c>
      <c r="K88" s="35">
        <f>J88*0.12</f>
        <v>1872</v>
      </c>
      <c r="L88" s="35">
        <f>J88*0.06</f>
        <v>936</v>
      </c>
      <c r="M88" s="34">
        <f t="shared" si="11"/>
        <v>18408</v>
      </c>
      <c r="N88" s="33" t="s">
        <v>213</v>
      </c>
      <c r="O88" s="31" t="s">
        <v>36</v>
      </c>
      <c r="P88" s="31" t="s">
        <v>103</v>
      </c>
      <c r="Q88" s="30"/>
    </row>
    <row r="89" spans="1:17" x14ac:dyDescent="0.35">
      <c r="A89" s="31" t="s">
        <v>17</v>
      </c>
      <c r="B89" s="31" t="s">
        <v>261</v>
      </c>
      <c r="C89" s="31" t="s">
        <v>19</v>
      </c>
      <c r="D89" s="32">
        <v>2027</v>
      </c>
      <c r="E89" s="33" t="s">
        <v>21</v>
      </c>
      <c r="F89" s="33" t="s">
        <v>169</v>
      </c>
      <c r="G89" s="34">
        <v>1</v>
      </c>
      <c r="H89" s="31" t="s">
        <v>5</v>
      </c>
      <c r="I89" s="34">
        <f>Ühikhinnad!B18</f>
        <v>700</v>
      </c>
      <c r="J89" s="34">
        <f t="shared" si="12"/>
        <v>700</v>
      </c>
      <c r="K89" s="34"/>
      <c r="L89" s="34"/>
      <c r="M89" s="34">
        <f t="shared" si="11"/>
        <v>700</v>
      </c>
      <c r="N89" s="33" t="s">
        <v>214</v>
      </c>
      <c r="O89" s="31" t="s">
        <v>36</v>
      </c>
      <c r="P89" s="31" t="s">
        <v>103</v>
      </c>
      <c r="Q89" s="30"/>
    </row>
    <row r="90" spans="1:17" ht="29" x14ac:dyDescent="0.35">
      <c r="A90" s="31" t="s">
        <v>17</v>
      </c>
      <c r="B90" s="31" t="s">
        <v>261</v>
      </c>
      <c r="C90" s="31" t="s">
        <v>19</v>
      </c>
      <c r="D90" s="32">
        <v>2027</v>
      </c>
      <c r="E90" s="33" t="s">
        <v>21</v>
      </c>
      <c r="F90" s="33" t="s">
        <v>115</v>
      </c>
      <c r="G90" s="34">
        <v>1</v>
      </c>
      <c r="H90" s="31" t="s">
        <v>5</v>
      </c>
      <c r="I90" s="34">
        <f>Ühikhinnad!B18</f>
        <v>700</v>
      </c>
      <c r="J90" s="34">
        <f t="shared" si="12"/>
        <v>700</v>
      </c>
      <c r="K90" s="34"/>
      <c r="L90" s="34"/>
      <c r="M90" s="34">
        <f t="shared" si="11"/>
        <v>700</v>
      </c>
      <c r="N90" s="33" t="s">
        <v>215</v>
      </c>
      <c r="O90" s="31" t="s">
        <v>36</v>
      </c>
      <c r="P90" s="31" t="s">
        <v>103</v>
      </c>
      <c r="Q90" s="30"/>
    </row>
    <row r="91" spans="1:17" x14ac:dyDescent="0.35">
      <c r="A91" s="31" t="s">
        <v>17</v>
      </c>
      <c r="B91" s="31" t="s">
        <v>18</v>
      </c>
      <c r="C91" s="31" t="s">
        <v>78</v>
      </c>
      <c r="D91" s="32" t="s">
        <v>98</v>
      </c>
      <c r="E91" s="31" t="s">
        <v>211</v>
      </c>
      <c r="F91" s="33" t="s">
        <v>25</v>
      </c>
      <c r="G91" s="34">
        <v>119</v>
      </c>
      <c r="H91" s="31" t="s">
        <v>4</v>
      </c>
      <c r="I91" s="35">
        <f>Ühikhinnad!B5</f>
        <v>190</v>
      </c>
      <c r="J91" s="35">
        <f t="shared" si="12"/>
        <v>22610</v>
      </c>
      <c r="K91" s="35">
        <f>J91*0.12</f>
        <v>2713.2</v>
      </c>
      <c r="L91" s="35">
        <f>J91*0.06</f>
        <v>1356.6</v>
      </c>
      <c r="M91" s="34">
        <f t="shared" si="11"/>
        <v>26679.8</v>
      </c>
      <c r="N91" s="31"/>
      <c r="O91" s="31" t="s">
        <v>36</v>
      </c>
      <c r="P91" s="31" t="s">
        <v>103</v>
      </c>
      <c r="Q91" s="30"/>
    </row>
    <row r="92" spans="1:17" x14ac:dyDescent="0.35">
      <c r="A92" s="31" t="s">
        <v>17</v>
      </c>
      <c r="B92" s="31" t="s">
        <v>18</v>
      </c>
      <c r="C92" s="31" t="s">
        <v>78</v>
      </c>
      <c r="D92" s="32" t="s">
        <v>98</v>
      </c>
      <c r="E92" s="31" t="s">
        <v>211</v>
      </c>
      <c r="F92" s="33" t="s">
        <v>27</v>
      </c>
      <c r="G92" s="34">
        <v>149</v>
      </c>
      <c r="H92" s="31" t="s">
        <v>4</v>
      </c>
      <c r="I92" s="35">
        <f>Ühikhinnad!B5</f>
        <v>190</v>
      </c>
      <c r="J92" s="35">
        <f t="shared" si="12"/>
        <v>28310</v>
      </c>
      <c r="K92" s="35">
        <f>J92*0.12</f>
        <v>3397.2</v>
      </c>
      <c r="L92" s="35">
        <f>J92*0.06</f>
        <v>1698.6</v>
      </c>
      <c r="M92" s="34">
        <f t="shared" si="11"/>
        <v>33405.800000000003</v>
      </c>
      <c r="N92" s="31"/>
      <c r="O92" s="31" t="s">
        <v>36</v>
      </c>
      <c r="P92" s="31" t="s">
        <v>103</v>
      </c>
      <c r="Q92" s="30"/>
    </row>
    <row r="93" spans="1:17" ht="29" x14ac:dyDescent="0.35">
      <c r="A93" s="31" t="s">
        <v>17</v>
      </c>
      <c r="B93" s="31" t="s">
        <v>18</v>
      </c>
      <c r="C93" s="31" t="s">
        <v>78</v>
      </c>
      <c r="D93" s="32" t="s">
        <v>98</v>
      </c>
      <c r="E93" s="31" t="s">
        <v>211</v>
      </c>
      <c r="F93" s="33" t="s">
        <v>31</v>
      </c>
      <c r="G93" s="34">
        <v>187</v>
      </c>
      <c r="H93" s="31" t="s">
        <v>4</v>
      </c>
      <c r="I93" s="35">
        <f>Ühikhinnad!B5</f>
        <v>190</v>
      </c>
      <c r="J93" s="35">
        <f t="shared" si="12"/>
        <v>35530</v>
      </c>
      <c r="K93" s="35">
        <f>J93*0.12</f>
        <v>4263.5999999999995</v>
      </c>
      <c r="L93" s="35">
        <f>J93*0.06</f>
        <v>2131.7999999999997</v>
      </c>
      <c r="M93" s="34">
        <f t="shared" si="11"/>
        <v>41925.4</v>
      </c>
      <c r="N93" s="33"/>
      <c r="O93" s="31" t="s">
        <v>36</v>
      </c>
      <c r="P93" s="31" t="s">
        <v>103</v>
      </c>
      <c r="Q93" s="30"/>
    </row>
    <row r="94" spans="1:17" ht="29" x14ac:dyDescent="0.35">
      <c r="A94" s="31" t="s">
        <v>112</v>
      </c>
      <c r="B94" s="31" t="s">
        <v>261</v>
      </c>
      <c r="C94" s="31" t="s">
        <v>78</v>
      </c>
      <c r="D94" s="32" t="s">
        <v>98</v>
      </c>
      <c r="E94" s="33" t="s">
        <v>168</v>
      </c>
      <c r="F94" s="33" t="s">
        <v>32</v>
      </c>
      <c r="G94" s="31">
        <v>1</v>
      </c>
      <c r="H94" s="31" t="s">
        <v>5</v>
      </c>
      <c r="I94" s="31">
        <f>Ühikhinnad!B18</f>
        <v>700</v>
      </c>
      <c r="J94" s="34">
        <f t="shared" si="12"/>
        <v>700</v>
      </c>
      <c r="K94" s="34"/>
      <c r="L94" s="34"/>
      <c r="M94" s="34">
        <f t="shared" si="11"/>
        <v>700</v>
      </c>
      <c r="N94" s="33" t="s">
        <v>237</v>
      </c>
      <c r="O94" s="31" t="s">
        <v>113</v>
      </c>
      <c r="P94" s="31"/>
      <c r="Q94" s="30"/>
    </row>
    <row r="95" spans="1:17" ht="29" x14ac:dyDescent="0.35">
      <c r="A95" s="31" t="s">
        <v>112</v>
      </c>
      <c r="B95" s="31" t="s">
        <v>261</v>
      </c>
      <c r="C95" s="31" t="s">
        <v>78</v>
      </c>
      <c r="D95" s="32" t="s">
        <v>98</v>
      </c>
      <c r="E95" s="33" t="s">
        <v>168</v>
      </c>
      <c r="F95" s="33" t="s">
        <v>114</v>
      </c>
      <c r="G95" s="31">
        <v>1</v>
      </c>
      <c r="H95" s="31" t="s">
        <v>5</v>
      </c>
      <c r="I95" s="31">
        <f>Ühikhinnad!B17</f>
        <v>900</v>
      </c>
      <c r="J95" s="42">
        <f t="shared" si="12"/>
        <v>900</v>
      </c>
      <c r="K95" s="42"/>
      <c r="L95" s="42"/>
      <c r="M95" s="34">
        <f t="shared" si="11"/>
        <v>900</v>
      </c>
      <c r="N95" s="33" t="s">
        <v>238</v>
      </c>
      <c r="O95" s="31" t="s">
        <v>113</v>
      </c>
      <c r="P95" s="31"/>
      <c r="Q95" s="30"/>
    </row>
    <row r="96" spans="1:17" x14ac:dyDescent="0.35">
      <c r="J96" s="26"/>
      <c r="K96" s="26"/>
      <c r="L96" s="26"/>
      <c r="M96" s="26"/>
      <c r="N96" s="26"/>
    </row>
    <row r="97" spans="10:14" x14ac:dyDescent="0.35">
      <c r="J97" s="26"/>
      <c r="K97" s="26"/>
      <c r="L97" s="26"/>
      <c r="M97" s="26"/>
      <c r="N97" s="25"/>
    </row>
  </sheetData>
  <autoFilter ref="A3:P3" xr:uid="{683B5215-E6E4-4B05-876B-FC22966FC9AA}"/>
  <sortState xmlns:xlrd2="http://schemas.microsoft.com/office/spreadsheetml/2017/richdata2" ref="A6:Q91">
    <sortCondition ref="O3:O95"/>
  </sortState>
  <pageMargins left="0.7" right="0.7" top="0.75" bottom="0.75" header="0.3" footer="0.3"/>
  <pageSetup paperSize="9" scale="32" fitToWidth="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7D008-6F93-4AD3-986B-770A635B4D0D}">
  <dimension ref="A1:W20"/>
  <sheetViews>
    <sheetView workbookViewId="0">
      <selection activeCell="E44" sqref="E44"/>
    </sheetView>
  </sheetViews>
  <sheetFormatPr defaultRowHeight="14.5" x14ac:dyDescent="0.35"/>
  <cols>
    <col min="2" max="2" width="19.90625" customWidth="1"/>
    <col min="3" max="3" width="12.6328125" bestFit="1" customWidth="1"/>
    <col min="4" max="5" width="14.36328125" bestFit="1" customWidth="1"/>
    <col min="6" max="8" width="12.6328125" bestFit="1" customWidth="1"/>
    <col min="9" max="9" width="14.1796875" bestFit="1" customWidth="1"/>
    <col min="10" max="10" width="12.6328125" bestFit="1" customWidth="1"/>
    <col min="11" max="11" width="11.6328125" bestFit="1" customWidth="1"/>
    <col min="12" max="12" width="12.6328125" bestFit="1" customWidth="1"/>
    <col min="13" max="14" width="12.6328125" customWidth="1"/>
    <col min="15" max="15" width="14.36328125" bestFit="1" customWidth="1"/>
    <col min="16" max="21" width="12.6328125" customWidth="1"/>
    <col min="22" max="22" width="13.36328125" customWidth="1"/>
    <col min="23" max="23" width="14.36328125" bestFit="1" customWidth="1"/>
  </cols>
  <sheetData>
    <row r="1" spans="1:23" ht="18.5" x14ac:dyDescent="0.45">
      <c r="A1" s="1" t="s">
        <v>105</v>
      </c>
    </row>
    <row r="2" spans="1:23" x14ac:dyDescent="0.35">
      <c r="A2" s="12" t="s">
        <v>108</v>
      </c>
    </row>
    <row r="3" spans="1:23" x14ac:dyDescent="0.35">
      <c r="B3" s="4"/>
      <c r="C3" s="4" t="s">
        <v>17</v>
      </c>
      <c r="D3" s="4" t="s">
        <v>33</v>
      </c>
      <c r="E3" s="4" t="s">
        <v>46</v>
      </c>
      <c r="F3" s="4" t="s">
        <v>64</v>
      </c>
      <c r="G3" s="4" t="s">
        <v>68</v>
      </c>
      <c r="H3" s="4" t="s">
        <v>70</v>
      </c>
      <c r="I3" s="4" t="s">
        <v>82</v>
      </c>
      <c r="J3" s="4" t="s">
        <v>87</v>
      </c>
      <c r="K3" s="4" t="s">
        <v>90</v>
      </c>
      <c r="L3" s="4" t="s">
        <v>76</v>
      </c>
      <c r="M3" s="4" t="s">
        <v>112</v>
      </c>
      <c r="N3" s="4" t="s">
        <v>116</v>
      </c>
      <c r="O3" s="4" t="s">
        <v>119</v>
      </c>
      <c r="P3" s="4" t="s">
        <v>122</v>
      </c>
      <c r="Q3" s="4" t="s">
        <v>125</v>
      </c>
      <c r="R3" s="4" t="s">
        <v>137</v>
      </c>
      <c r="S3" s="4" t="s">
        <v>140</v>
      </c>
      <c r="T3" s="4" t="s">
        <v>146</v>
      </c>
      <c r="U3" s="4" t="s">
        <v>149</v>
      </c>
      <c r="V3" s="4" t="s">
        <v>96</v>
      </c>
      <c r="W3" s="4" t="s">
        <v>109</v>
      </c>
    </row>
    <row r="4" spans="1:23" x14ac:dyDescent="0.35">
      <c r="B4" s="4" t="s">
        <v>107</v>
      </c>
      <c r="C4" s="11">
        <f>SUMIFS('Investeeringu projektid'!$M$4:$M$96,'Investeeringu projektid'!$C$4:$C$96,"Lühiajaline",'Investeeringu projektid'!$A$4:$A$96,"Veibri küla",'Investeeringu projektid'!$E$4:$E$96,"Vald")</f>
        <v>429388.79999999999</v>
      </c>
      <c r="D4" s="11">
        <f>SUMIFS('Investeeringu projektid'!$M$4:$M$96,'Investeeringu projektid'!$C$4:$C$96,"Lühiajaline",'Investeeringu projektid'!$A$4:$A$96,"Kabina küla",'Investeeringu projektid'!$E$4:$E$96,"Vald")</f>
        <v>0</v>
      </c>
      <c r="E4" s="11">
        <f>SUMIFS('Investeeringu projektid'!$M$4:$M$96,'Investeeringu projektid'!$C$4:$C$96,"Lühiajaline",'Investeeringu projektid'!$A$4:$A$96,"Lohkva küla",'Investeeringu projektid'!$E$4:$E$96,"Vald")</f>
        <v>900</v>
      </c>
      <c r="F4" s="11">
        <f>SUMIFS('Investeeringu projektid'!$M$4:$M$96,'Investeeringu projektid'!$C$4:$C$96,"Lühiajaline",'Investeeringu projektid'!$A$4:$A$96,"Rõõmu küla",'Investeeringu projektid'!$E$4:$E$96,"Vald")</f>
        <v>0</v>
      </c>
      <c r="G4" s="11">
        <f>SUMIFS('Investeeringu projektid'!$M$4:$M$96,'Investeeringu projektid'!$C$4:$C$96,"Lühiajaline",'Investeeringu projektid'!$A$4:$A$96,"Muri küla",'Investeeringu projektid'!$E$4:$E$96,"Vald")</f>
        <v>0</v>
      </c>
      <c r="H4" s="11">
        <f>SUMIFS('Investeeringu projektid'!$M$4:$M$96,'Investeeringu projektid'!$C$4:$C$96,"Lühiajaline",'Investeeringu projektid'!$A$4:$A$96,"Põvvatu küla",'Investeeringu projektid'!$E$4:$E$96,"Vald")</f>
        <v>0</v>
      </c>
      <c r="I4" s="11">
        <f>SUMIFS('Investeeringu projektid'!$M$4:$M$96,'Investeeringu projektid'!$C$4:$C$96,"Lühiajaline",'Investeeringu projektid'!$A$4:$A$96,"Kakumetsa küla",'Investeeringu projektid'!$E$4:$E$96,"Vald")</f>
        <v>0</v>
      </c>
      <c r="J4" s="11">
        <f>SUMIFS('Investeeringu projektid'!$M$4:$M$96,'Investeeringu projektid'!$C$4:$C$96,"Lühiajaline",'Investeeringu projektid'!$A$4:$A$96,"Pilka küla",'Investeeringu projektid'!$E$4:$E$96,"Vald")</f>
        <v>0</v>
      </c>
      <c r="K4" s="11">
        <f>SUMIFS('Investeeringu projektid'!$M$4:$M$96,'Investeeringu projektid'!$C$4:$C$96,"Lühiajaline",'Investeeringu projektid'!$A$4:$A$96,K3,'Investeeringu projektid'!$E$4:$E$96,"Vald")</f>
        <v>21712</v>
      </c>
      <c r="L4" s="11">
        <f>SUMIFS('Investeeringu projektid'!$M$4:$M$96,'Investeeringu projektid'!$C$4:$C$96,"Lühiajaline",'Investeeringu projektid'!$A$4:$A$96,"Luunja alevik",'Investeeringu projektid'!$E$4:$E$96,"Vald")+((SUMIFS('Investeeringu projektid'!$M$4:$M$96,'Investeeringu projektid'!$C$4:$C$96,"Lühi- ja pikaajaline",'Investeeringu projektid'!$A$4:$A$96,"Luunja alevik",'Investeeringu projektid'!$E$4:$E$96,"Vald"))/2)</f>
        <v>69935.600000000006</v>
      </c>
      <c r="M4" s="11">
        <f>SUMIFS('Investeeringu projektid'!$M$4:$M$96,'Investeeringu projektid'!$C$4:$C$96,"Lühiajaline",'Investeeringu projektid'!$A$4:$A$96,M3,'Investeeringu projektid'!$E$4:$E$96,"Vald")</f>
        <v>0</v>
      </c>
      <c r="N4" s="11">
        <f>SUMIFS('Investeeringu projektid'!$M$4:$M$96,'Investeeringu projektid'!$C$4:$C$96,"Lühiajaline",'Investeeringu projektid'!$A$4:$A$96,N3,'Investeeringu projektid'!$E$4:$E$96,"Vald")</f>
        <v>0</v>
      </c>
      <c r="O4" s="11">
        <f>SUMIFS('Investeeringu projektid'!$M$4:$M$96,'Investeeringu projektid'!$C$4:$C$96,"Lühiajaline",'Investeeringu projektid'!$A$4:$A$96,O3,'Investeeringu projektid'!$E$4:$E$96,"Vald")</f>
        <v>0</v>
      </c>
      <c r="P4" s="11">
        <f>SUMIFS('Investeeringu projektid'!$M$4:$M$96,'Investeeringu projektid'!$C$4:$C$96,"Lühiajaline",'Investeeringu projektid'!$A$4:$A$96,P3,'Investeeringu projektid'!$E$4:$E$96,"Vald")</f>
        <v>0</v>
      </c>
      <c r="Q4" s="11">
        <f>SUMIFS('Investeeringu projektid'!$M$4:$M$96,'Investeeringu projektid'!$C$4:$C$96,"Lühiajaline",'Investeeringu projektid'!$A$4:$A$96,Q3,'Investeeringu projektid'!$E$4:$E$96,"Vald")</f>
        <v>0</v>
      </c>
      <c r="R4" s="11">
        <f>SUMIFS('Investeeringu projektid'!$M$4:$M$96,'Investeeringu projektid'!$C$4:$C$96,"Lühiajaline",'Investeeringu projektid'!$A$4:$A$96,R3,'Investeeringu projektid'!$E$4:$E$96,"Vald")</f>
        <v>0</v>
      </c>
      <c r="S4" s="11">
        <f>SUMIFS('Investeeringu projektid'!$M$4:$M$96,'Investeeringu projektid'!$C$4:$C$96,"Lühiajaline",'Investeeringu projektid'!$A$4:$A$96,S3,'Investeeringu projektid'!$E$4:$E$96,"Vald")</f>
        <v>0</v>
      </c>
      <c r="T4" s="11">
        <f>SUMIFS('Investeeringu projektid'!$M$4:$M$96,'Investeeringu projektid'!$C$4:$C$96,"Lühiajaline",'Investeeringu projektid'!$A$4:$A$96,T3,'Investeeringu projektid'!$E$4:$E$96,"Vald")</f>
        <v>0</v>
      </c>
      <c r="U4" s="11">
        <f>SUMIFS('Investeeringu projektid'!$M$4:$M$96,'Investeeringu projektid'!$C$4:$C$96,"Lühiajaline",'Investeeringu projektid'!$A$4:$A$96,U3,'Investeeringu projektid'!$E$4:$E$96,"Vald")</f>
        <v>0</v>
      </c>
      <c r="V4" s="11">
        <f>SUMIFS('Investeeringu projektid'!$M$4:$M$96,'Investeeringu projektid'!$C$4:$C$96,"Lühiajaline",'Investeeringu projektid'!$A$4:$A$96,"Kogu vald",'Investeeringu projektid'!$E$4:$E$96,"Vald")</f>
        <v>85336</v>
      </c>
      <c r="W4" s="9">
        <f>SUM(C4:V4)</f>
        <v>607272.4</v>
      </c>
    </row>
    <row r="5" spans="1:23" x14ac:dyDescent="0.35">
      <c r="B5" s="4" t="s">
        <v>106</v>
      </c>
      <c r="C5" s="11">
        <f>SUMIFS('Investeeringu projektid'!$M$4:$M$96,'Investeeringu projektid'!$C$4:$C$96,"Pikaajaline",'Investeeringu projektid'!$A$4:$A$96,"Veibri küla",'Investeeringu projektid'!$E$4:$E$96,"Vald")</f>
        <v>0</v>
      </c>
      <c r="D5" s="11">
        <f>SUMIFS('Investeeringu projektid'!$M$4:$M$96,'Investeeringu projektid'!$C$4:$C$96,"Pikaajaline",'Investeeringu projektid'!$A$4:$A$96,"Kabina küla",'Investeeringu projektid'!$E$4:$E$96,"Vald")+((SUMIFS('Investeeringu projektid'!$M$4:$M$96,'Investeeringu projektid'!$C$4:$C$96,"Pikaajaline",'Investeeringu projektid'!$A$4:$A$96,"Kabina küla",'Investeeringu projektid'!$E$4:$E$96,"Arendaja ja vald 50/50"))/2)</f>
        <v>1111130.8999999999</v>
      </c>
      <c r="E5" s="11">
        <f>SUMIFS('Investeeringu projektid'!$M$4:$M$96,'Investeeringu projektid'!$C$4:$C$96,"Pikaajaline",'Investeeringu projektid'!$A$4:$A$96,"Lohkva küla",'Investeeringu projektid'!$E$4:$E$96,"Vald")+((SUMIFS('Investeeringu projektid'!$M$4:$M$96,'Investeeringu projektid'!$C$4:$C$96,"Pikaajaline",'Investeeringu projektid'!$A$4:$A$96,"Lohkva küla",'Investeeringu projektid'!$E$4:$E$96,"Arendaja ja vald 50/50"))/2)</f>
        <v>188343.3</v>
      </c>
      <c r="F5" s="11">
        <f>SUMIFS('Investeeringu projektid'!$M$4:$M$96,'Investeeringu projektid'!$C$4:$C$96,"Pikaajaline",'Investeeringu projektid'!$A$4:$A$96,"Rõõmu küla",'Investeeringu projektid'!$E$4:$E$96,"Vald")+((SUMIFS('Investeeringu projektid'!$M$4:$M$96,'Investeeringu projektid'!$C$4:$C$96,"Pikaajaline",'Investeeringu projektid'!$A$4:$A$96,"Rõõmu küla",'Investeeringu projektid'!$E$4:$E$96,"Arendaja ja vald 50/50"))/2)</f>
        <v>225822.36</v>
      </c>
      <c r="G5" s="11">
        <f>SUMIFS('Investeeringu projektid'!$M$4:$M$96,'Investeeringu projektid'!$C$4:$C$96,"Pikaajaline",'Investeeringu projektid'!$A$4:$A$96,"Muri küla",'Investeeringu projektid'!$E$4:$E$96,"Vald")</f>
        <v>0</v>
      </c>
      <c r="H5" s="11">
        <f>SUMIFS('Investeeringu projektid'!$M$4:$M$96,'Investeeringu projektid'!$C$4:$C$96,"Pikaajaline",'Investeeringu projektid'!$A$4:$A$96,"Põvvatu küla",'Investeeringu projektid'!$E$4:$E$96,"Vald")</f>
        <v>0</v>
      </c>
      <c r="I5" s="11">
        <f>SUMIFS('Investeeringu projektid'!$M$4:$M$96,'Investeeringu projektid'!$C$4:$C$96,"Pikaajaline",'Investeeringu projektid'!$A$4:$A$96,"Kakumetsa küla",'Investeeringu projektid'!$E$4:$E$96,"Vald")</f>
        <v>194405</v>
      </c>
      <c r="J5" s="11">
        <f>SUMIFS('Investeeringu projektid'!$M$4:$M$96,'Investeeringu projektid'!$C$4:$C$96,"Pikaajaline",'Investeeringu projektid'!$A$4:$A$96,"Pilka küla",'Investeeringu projektid'!$E$4:$E$96,"Vald")</f>
        <v>0</v>
      </c>
      <c r="K5" s="11">
        <f>SUMIFS('Investeeringu projektid'!$M$4:$M$96,'Investeeringu projektid'!$C$4:$C$96,"Pikaajaline",'Investeeringu projektid'!$A$4:$A$96,K3,'Investeeringu projektid'!$E$4:$E$96,"Vald")</f>
        <v>0</v>
      </c>
      <c r="L5" s="11">
        <f>SUMIFS('Investeeringu projektid'!$M$4:$M$96,'Investeeringu projektid'!$C$4:$C$96,"Pikaajaline",'Investeeringu projektid'!$A$4:$A$96,"Luunja alevik",'Investeeringu projektid'!$E$4:$E$96,"Vald")+((SUMIFS('Investeeringu projektid'!$M$4:$M$96,'Investeeringu projektid'!$C$4:$C$96,"Lühi- ja pikaajaline",'Investeeringu projektid'!$A$4:$A$96,"Luunja alevik",'Investeeringu projektid'!$E$4:$E$96,"Vald"))/2)+((SUMIFS('Investeeringu projektid'!$M$4:$M$96,'Investeeringu projektid'!$C$4:$C$96,"Pikaajaline",'Investeeringu projektid'!$A$4:$A$96,"Luunja alevik",'Investeeringu projektid'!$E$4:$E$96,"Arendaja ja vald 50/50"))/2)</f>
        <v>242246.5</v>
      </c>
      <c r="M5" s="11">
        <f>SUMIFS('Investeeringu projektid'!$M$4:$M$96,'Investeeringu projektid'!$C$4:$C$96,"Pikaajaline",'Investeeringu projektid'!$A$4:$A$96,M3,'Investeeringu projektid'!$E$4:$E$96,"Vald")</f>
        <v>0</v>
      </c>
      <c r="N5" s="11">
        <f>SUMIFS('Investeeringu projektid'!$M$4:$M$96,'Investeeringu projektid'!$C$4:$C$96,"Pikaajaline",'Investeeringu projektid'!$A$4:$A$96,N3,'Investeeringu projektid'!$E$4:$E$96,"Vald")</f>
        <v>0</v>
      </c>
      <c r="O5" s="11">
        <f>SUMIFS('Investeeringu projektid'!$M$4:$M$96,'Investeeringu projektid'!$C$4:$C$96,"Pikaajaline",'Investeeringu projektid'!$A$4:$A$96,O3,'Investeeringu projektid'!$E$4:$E$96,"Vald")</f>
        <v>4830</v>
      </c>
      <c r="P5" s="11">
        <f>SUMIFS('Investeeringu projektid'!$M$4:$M$96,'Investeeringu projektid'!$C$4:$C$96,"Pikaajaline",'Investeeringu projektid'!$A$4:$A$96,P3,'Investeeringu projektid'!$E$4:$E$96,"Vald")</f>
        <v>0</v>
      </c>
      <c r="Q5" s="11">
        <f>SUMIFS('Investeeringu projektid'!$M$4:$M$96,'Investeeringu projektid'!$C$4:$C$96,"Pikaajaline",'Investeeringu projektid'!$A$4:$A$96,Q3,'Investeeringu projektid'!$E$4:$E$96,"Vald")</f>
        <v>4830</v>
      </c>
      <c r="R5" s="11">
        <f>SUMIFS('Investeeringu projektid'!$M$4:$M$96,'Investeeringu projektid'!$C$4:$C$96,"Pikaajaline",'Investeeringu projektid'!$A$4:$A$96,R3,'Investeeringu projektid'!$E$4:$E$96,"Vald")</f>
        <v>0</v>
      </c>
      <c r="S5" s="11">
        <f>SUMIFS('Investeeringu projektid'!$M$4:$M$96,'Investeeringu projektid'!$C$4:$C$96,"Pikaajaline",'Investeeringu projektid'!$A$4:$A$96,S3,'Investeeringu projektid'!$E$4:$E$96,"Vald")</f>
        <v>0</v>
      </c>
      <c r="T5" s="11">
        <f>SUMIFS('Investeeringu projektid'!$M$4:$M$96,'Investeeringu projektid'!$C$4:$C$96,"Pikaajaline",'Investeeringu projektid'!$A$4:$A$96,T3,'Investeeringu projektid'!$E$4:$E$96,"Vald")</f>
        <v>0</v>
      </c>
      <c r="U5" s="11">
        <f>SUMIFS('Investeeringu projektid'!$M$4:$M$96,'Investeeringu projektid'!$C$4:$C$96,"Pikaajaline",'Investeeringu projektid'!$A$4:$A$96,U3,'Investeeringu projektid'!$E$4:$E$96,"Vald")</f>
        <v>0</v>
      </c>
      <c r="V5" s="11">
        <f>SUMIFS('Investeeringu projektid'!$M$4:$M$96,'Investeeringu projektid'!$C$4:$C$96,"Pikaajaline",'Investeeringu projektid'!$A$4:$A$96,"Kogu vald",'Investeeringu projektid'!$E$4:$E$96,"Vald")</f>
        <v>293510</v>
      </c>
      <c r="W5" s="9">
        <f>SUM(C5:V5)</f>
        <v>2265118.06</v>
      </c>
    </row>
    <row r="8" spans="1:23" x14ac:dyDescent="0.35">
      <c r="A8" s="12" t="s">
        <v>110</v>
      </c>
    </row>
    <row r="9" spans="1:23" x14ac:dyDescent="0.35">
      <c r="B9" s="4"/>
      <c r="C9" s="4" t="s">
        <v>17</v>
      </c>
      <c r="D9" s="4" t="s">
        <v>33</v>
      </c>
      <c r="E9" s="4" t="s">
        <v>46</v>
      </c>
      <c r="F9" s="4" t="s">
        <v>64</v>
      </c>
      <c r="G9" s="4" t="s">
        <v>68</v>
      </c>
      <c r="H9" s="4" t="s">
        <v>70</v>
      </c>
      <c r="I9" s="4" t="s">
        <v>82</v>
      </c>
      <c r="J9" s="4" t="s">
        <v>87</v>
      </c>
      <c r="K9" s="4" t="s">
        <v>90</v>
      </c>
      <c r="L9" s="4" t="s">
        <v>76</v>
      </c>
      <c r="M9" s="4" t="s">
        <v>112</v>
      </c>
      <c r="N9" s="4" t="s">
        <v>116</v>
      </c>
      <c r="O9" s="4" t="s">
        <v>119</v>
      </c>
      <c r="P9" s="4" t="s">
        <v>122</v>
      </c>
      <c r="Q9" s="4" t="s">
        <v>125</v>
      </c>
      <c r="R9" s="4" t="s">
        <v>137</v>
      </c>
      <c r="S9" s="4" t="s">
        <v>140</v>
      </c>
      <c r="T9" s="4" t="s">
        <v>146</v>
      </c>
      <c r="U9" s="4" t="s">
        <v>149</v>
      </c>
      <c r="V9" s="4" t="s">
        <v>96</v>
      </c>
      <c r="W9" s="4" t="s">
        <v>109</v>
      </c>
    </row>
    <row r="10" spans="1:23" x14ac:dyDescent="0.35">
      <c r="B10" s="4" t="s">
        <v>107</v>
      </c>
      <c r="C10" s="11">
        <f>SUMIFS('Investeeringu projektid'!$M$4:$M$96,'Investeeringu projektid'!$C$4:$C$96,"Lühiajaline",'Investeeringu projektid'!$A$4:$A$96,"Veibri küla",'Investeeringu projektid'!$E$4:$E$96,"Arendaja (liitumistasudest)")</f>
        <v>61094.5</v>
      </c>
      <c r="D10" s="11">
        <f>SUMIFS('Investeeringu projektid'!$M$4:$M$96,'Investeeringu projektid'!$C$4:$C$96,"Lühiajaline",'Investeeringu projektid'!$A$4:$A$96,"Kabina küla",'Investeeringu projektid'!$E$4:$E$96,"Arendaja (liitumistasudest)")</f>
        <v>0</v>
      </c>
      <c r="E10" s="11">
        <f>SUMIFS('Investeeringu projektid'!$M$4:$M$96,'Investeeringu projektid'!$C$4:$C$96,"Lühiajaline",'Investeeringu projektid'!$A$4:$A$96,"Lohkva küla",'Investeeringu projektid'!$E$4:$E$96,"Arendaja (liitumistasudest)")</f>
        <v>187030</v>
      </c>
      <c r="F10" s="11">
        <f>SUMIFS('Investeeringu projektid'!$M$4:$M$96,'Investeeringu projektid'!$C$4:$C$96,"Lühiajaline",'Investeeringu projektid'!$A$4:$A$96,"Rõõmu küla",'Investeeringu projektid'!$E$4:$E$96,"Arendaja (liitumistasudest)")</f>
        <v>0</v>
      </c>
      <c r="G10" s="11">
        <f>SUMIFS('Investeeringu projektid'!$M$4:$M$96,'Investeeringu projektid'!$C$4:$C$96,"Lühiajaline",'Investeeringu projektid'!$A$4:$A$96,"Muri küla",'Investeeringu projektid'!$E$4:$E$96,"Arendaja (liitumistasudest)")</f>
        <v>0</v>
      </c>
      <c r="H10" s="11">
        <f>SUMIFS('Investeeringu projektid'!$M$4:$M$96,'Investeeringu projektid'!$C$4:$C$96,"Lühiajaline",'Investeeringu projektid'!$A$4:$A$96,"Põvvatu küla",'Investeeringu projektid'!$E$4:$E$96,"Arendaja (liitumistasudest)")</f>
        <v>0</v>
      </c>
      <c r="I10" s="11">
        <f>SUMIFS('Investeeringu projektid'!$M$4:$M$96,'Investeeringu projektid'!$C$4:$C$96,"Lühiajaline",'Investeeringu projektid'!$A$4:$A$96,"Kakumetsa küla",'Investeeringu projektid'!$E$4:$E$96,"Arendaja (liitumistasudest)")</f>
        <v>0</v>
      </c>
      <c r="J10" s="11">
        <f>SUMIFS('Investeeringu projektid'!$M$4:$M$96,'Investeeringu projektid'!$C$4:$C$96,"Lühiajaline",'Investeeringu projektid'!$A$4:$A$96,"Pilka küla",'Investeeringu projektid'!$E$4:$E$96,"Arendaja (liitumistasudest)")</f>
        <v>0</v>
      </c>
      <c r="K10" s="11">
        <f>SUMIFS('Investeeringu projektid'!$M$4:$M$96,'Investeeringu projektid'!$C$4:$C$96,"Lühiajaline",'Investeeringu projektid'!$A$4:$A$96,K9,'Investeeringu projektid'!$E$4:$E$96,"Arendaja (liitumistasudest)")</f>
        <v>0</v>
      </c>
      <c r="L10" s="11">
        <f>SUMIFS('Investeeringu projektid'!$M$4:$M$96,'Investeeringu projektid'!$C$4:$C$96,"Lühiajaline",'Investeeringu projektid'!$A$4:$A$96,"Luunja alevik",'Investeeringu projektid'!$E$4:$E$96,"Arendaja (liitumistasudest)")</f>
        <v>0</v>
      </c>
      <c r="M10" s="11">
        <f>SUMIFS('Investeeringu projektid'!$M$4:$M$96,'Investeeringu projektid'!$C$4:$C$96,"Lühiajaline",'Investeeringu projektid'!$A$4:$A$96,M9,'Investeeringu projektid'!$E$4:$E$96,"Arendaja (liitumistasudest)")</f>
        <v>0</v>
      </c>
      <c r="N10" s="11">
        <f>SUMIFS('Investeeringu projektid'!$M$4:$M$96,'Investeeringu projektid'!$C$4:$C$96,"Lühiajaline",'Investeeringu projektid'!$A$4:$A$96,N9,'Investeeringu projektid'!$E$4:$E$96,"Arendaja (liitumistasudest)")</f>
        <v>0</v>
      </c>
      <c r="O10" s="11">
        <f>SUMIFS('Investeeringu projektid'!$M$4:$M$96,'Investeeringu projektid'!$C$4:$C$96,"Lühiajaline",'Investeeringu projektid'!$A$4:$A$96,O9,'Investeeringu projektid'!$E$4:$E$96,"Arendaja (liitumistasudest)")</f>
        <v>0</v>
      </c>
      <c r="P10" s="11">
        <f>SUMIFS('Investeeringu projektid'!$M$4:$M$96,'Investeeringu projektid'!$C$4:$C$96,"Lühiajaline",'Investeeringu projektid'!$A$4:$A$96,P9,'Investeeringu projektid'!$E$4:$E$96,"Arendaja (liitumistasudest)")</f>
        <v>0</v>
      </c>
      <c r="Q10" s="11">
        <f>SUMIFS('Investeeringu projektid'!$M$4:$M$96,'Investeeringu projektid'!$C$4:$C$96,"Lühiajaline",'Investeeringu projektid'!$A$4:$A$96,Q9,'Investeeringu projektid'!$E$4:$E$96,"Arendaja (liitumistasudest)")</f>
        <v>0</v>
      </c>
      <c r="R10" s="11">
        <f>SUMIFS('Investeeringu projektid'!$M$4:$M$96,'Investeeringu projektid'!$C$4:$C$96,"Lühiajaline",'Investeeringu projektid'!$A$4:$A$96,R9,'Investeeringu projektid'!$E$4:$E$96,"Arendaja (liitumistasudest)")</f>
        <v>0</v>
      </c>
      <c r="S10" s="11">
        <f>SUMIFS('Investeeringu projektid'!$M$4:$M$96,'Investeeringu projektid'!$C$4:$C$96,"Lühiajaline",'Investeeringu projektid'!$A$4:$A$96,S9,'Investeeringu projektid'!$E$4:$E$96,"Arendaja (liitumistasudest)")</f>
        <v>0</v>
      </c>
      <c r="T10" s="11">
        <f>SUMIFS('Investeeringu projektid'!$M$4:$M$96,'Investeeringu projektid'!$C$4:$C$96,"Lühiajaline",'Investeeringu projektid'!$A$4:$A$96,T9,'Investeeringu projektid'!$E$4:$E$96,"Arendaja (liitumistasudest)")</f>
        <v>0</v>
      </c>
      <c r="U10" s="11">
        <f>SUMIFS('Investeeringu projektid'!$M$4:$M$96,'Investeeringu projektid'!$C$4:$C$96,"Lühiajaline",'Investeeringu projektid'!$A$4:$A$96,U9,'Investeeringu projektid'!$E$4:$E$96,"Arendaja (liitumistasudest)")</f>
        <v>0</v>
      </c>
      <c r="V10" s="11">
        <f>SUMIFS('Investeeringu projektid'!$M$4:$M$96,'Investeeringu projektid'!$C$4:$C$96,"Lühiajaline",'Investeeringu projektid'!$A$4:$A$96,V9,'Investeeringu projektid'!$E$4:$E$96,"Arendaja (liitumistasudest)")</f>
        <v>0</v>
      </c>
      <c r="W10" s="9">
        <f>SUM(C10:V10)</f>
        <v>248124.5</v>
      </c>
    </row>
    <row r="11" spans="1:23" x14ac:dyDescent="0.35">
      <c r="B11" s="4" t="s">
        <v>106</v>
      </c>
      <c r="C11" s="11">
        <f>SUMIFS('Investeeringu projektid'!$M$4:$M$96,'Investeeringu projektid'!$C$4:$C$96,"Pikaajaline",'Investeeringu projektid'!$A$4:$A$96,"Veibri küla",'Investeeringu projektid'!$E$4:$E$96,"Arendaja (liitumistasudest)")</f>
        <v>156385.4</v>
      </c>
      <c r="D11" s="11">
        <f>SUMIFS('Investeeringu projektid'!$M$4:$M$96,'Investeeringu projektid'!$C$4:$C$96,"Pikaajaline",'Investeeringu projektid'!$A$4:$A$96,"Kabina küla",'Investeeringu projektid'!$E$4:$E$96,"Arendaja (liitumistasudest)")+((SUMIFS('Investeeringu projektid'!$M$4:$M$96,'Investeeringu projektid'!$C$4:$C$96,"Pikaajaline",'Investeeringu projektid'!$A$4:$A$96,"Kabina küla",'Investeeringu projektid'!$E$4:$E$96,"Arendaja ja vald 50/50"))/2)</f>
        <v>477093.30000000005</v>
      </c>
      <c r="E11" s="11">
        <f>SUMIFS('Investeeringu projektid'!$M$4:$M$96,'Investeeringu projektid'!$C$4:$C$96,"Pikaajaline",'Investeeringu projektid'!$A$4:$A$96,"Lohkva küla",'Investeeringu projektid'!$E$4:$E$96,"Arendaja (liitumistasudest)")+((SUMIFS('Investeeringu projektid'!$M$4:$M$96,'Investeeringu projektid'!$C$4:$C$96,"Pikaajaline",'Investeeringu projektid'!$A$4:$A$96,"Lohkva küla",'Investeeringu projektid'!$E$4:$E$96,"Arendaja ja vald 50/50"))/2)</f>
        <v>2000858.7000000002</v>
      </c>
      <c r="F11" s="11">
        <f>SUMIFS('Investeeringu projektid'!$M$4:$M$96,'Investeeringu projektid'!$C$4:$C$96,"Pikaajaline",'Investeeringu projektid'!$A$4:$A$96,"Rõõmu küla",'Investeeringu projektid'!$E$4:$E$96,"Arendaja (liitumistasudest)")+((SUMIFS('Investeeringu projektid'!$M$4:$M$96,'Investeeringu projektid'!$C$4:$C$96,"Pikaajaline",'Investeeringu projektid'!$A$4:$A$96,"Rõõmu küla",'Investeeringu projektid'!$E$4:$E$96,"Arendaja ja vald 50/50"))/2)</f>
        <v>325979</v>
      </c>
      <c r="G11" s="11">
        <f>SUMIFS('Investeeringu projektid'!$M$4:$M$96,'Investeeringu projektid'!$C$4:$C$96,"Pikaajaline",'Investeeringu projektid'!$A$4:$A$96,"Muri küla",'Investeeringu projektid'!$E$4:$E$96,"Arendaja (liitumistasudest)")</f>
        <v>755064.8</v>
      </c>
      <c r="H11" s="11">
        <f>SUMIFS('Investeeringu projektid'!$M$4:$M$96,'Investeeringu projektid'!$C$4:$C$96,"Pikaajaline",'Investeeringu projektid'!$A$4:$A$96,"Põvvatu küla",'Investeeringu projektid'!$E$4:$E$96,"Arendaja (liitumistasudest)")</f>
        <v>588171</v>
      </c>
      <c r="I11" s="11">
        <f>SUMIFS('Investeeringu projektid'!$M$4:$M$96,'Investeeringu projektid'!$C$4:$C$96,"Pikaajaline",'Investeeringu projektid'!$A$4:$A$96,"Kakumetsa küla",'Investeeringu projektid'!$E$4:$E$96,"Arendaja (liitumistasudest)")</f>
        <v>544381.19999999995</v>
      </c>
      <c r="J11" s="11">
        <f>SUMIFS('Investeeringu projektid'!$M$4:$M$96,'Investeeringu projektid'!$C$4:$C$96,"Pikaajaline",'Investeeringu projektid'!$A$4:$A$96,"Pilka küla",'Investeeringu projektid'!$E$4:$E$96,"Arendaja (liitumistasudest)")</f>
        <v>535248</v>
      </c>
      <c r="K11" s="11">
        <f>SUMIFS('Investeeringu projektid'!$M$4:$M$96,'Investeeringu projektid'!$C$4:$C$96,"Pikaajaline",'Investeeringu projektid'!$A$4:$A$96,K9,'Investeeringu projektid'!$E$4:$E$96,"Arendaja (liitumistasudest)")</f>
        <v>0</v>
      </c>
      <c r="L11" s="11">
        <f>SUMIFS('Investeeringu projektid'!$M$4:$M$96,'Investeeringu projektid'!$C$4:$C$96,"Pikaajaline",'Investeeringu projektid'!$A$4:$A$96,"Luunja alevik",'Investeeringu projektid'!$E$4:$E$96,"Arendaja (liitumistasudest)")+((SUMIFS('Investeeringu projektid'!$M$4:$M$96,'Investeeringu projektid'!$C$4:$C$96,"Pikaajaline",'Investeeringu projektid'!$A$4:$A$96,"Luunja alevik",'Investeeringu projektid'!$E$4:$E$96,"Arendaja ja vald 50/50"))/2)</f>
        <v>785374</v>
      </c>
      <c r="M11" s="11">
        <f>SUMIFS('Investeeringu projektid'!$M$4:$M$96,'Investeeringu projektid'!$C$4:$C$96,"Pikaajaline",'Investeeringu projektid'!$A$4:$A$96,M9,'Investeeringu projektid'!$E$4:$E$96,"Arendaja (liitumistasudest)")</f>
        <v>0</v>
      </c>
      <c r="N11" s="11">
        <f>SUMIFS('Investeeringu projektid'!$M$4:$M$96,'Investeeringu projektid'!$C$4:$C$96,"Pikaajaline",'Investeeringu projektid'!$A$4:$A$96,N9,'Investeeringu projektid'!$E$4:$E$96,"Arendaja (liitumistasudest)")</f>
        <v>0</v>
      </c>
      <c r="O11" s="11">
        <f>SUMIFS('Investeeringu projektid'!$M$4:$M$96,'Investeeringu projektid'!$C$4:$C$96,"Pikaajaline",'Investeeringu projektid'!$A$4:$A$96,O9,'Investeeringu projektid'!$E$4:$E$96,"Arendaja (liitumistasudest)")</f>
        <v>0</v>
      </c>
      <c r="P11" s="11">
        <f>SUMIFS('Investeeringu projektid'!$M$4:$M$96,'Investeeringu projektid'!$C$4:$C$96,"Pikaajaline",'Investeeringu projektid'!$A$4:$A$96,P9,'Investeeringu projektid'!$E$4:$E$96,"Arendaja (liitumistasudest)")</f>
        <v>0</v>
      </c>
      <c r="Q11" s="11">
        <f>SUMIFS('Investeeringu projektid'!$M$4:$M$96,'Investeeringu projektid'!$C$4:$C$96,"Pikaajaline",'Investeeringu projektid'!$A$4:$A$96,Q9,'Investeeringu projektid'!$E$4:$E$96,"Arendaja (liitumistasudest)")</f>
        <v>0</v>
      </c>
      <c r="R11" s="11">
        <f>SUMIFS('Investeeringu projektid'!$M$4:$M$96,'Investeeringu projektid'!$C$4:$C$96,"Pikaajaline",'Investeeringu projektid'!$A$4:$A$96,R9,'Investeeringu projektid'!$E$4:$E$96,"Arendaja (liitumistasudest)")</f>
        <v>0</v>
      </c>
      <c r="S11" s="11">
        <f>SUMIFS('Investeeringu projektid'!$M$4:$M$96,'Investeeringu projektid'!$C$4:$C$96,"Pikaajaline",'Investeeringu projektid'!$A$4:$A$96,S9,'Investeeringu projektid'!$E$4:$E$96,"Arendaja (liitumistasudest)")</f>
        <v>0</v>
      </c>
      <c r="T11" s="11">
        <f>SUMIFS('Investeeringu projektid'!$M$4:$M$96,'Investeeringu projektid'!$C$4:$C$96,"Pikaajaline",'Investeeringu projektid'!$A$4:$A$96,T9,'Investeeringu projektid'!$E$4:$E$96,"Arendaja (liitumistasudest)")</f>
        <v>0</v>
      </c>
      <c r="U11" s="11">
        <f>SUMIFS('Investeeringu projektid'!$M$4:$M$96,'Investeeringu projektid'!$C$4:$C$96,"Pikaajaline",'Investeeringu projektid'!$A$4:$A$96,U9,'Investeeringu projektid'!$E$4:$E$96,"Arendaja (liitumistasudest)")</f>
        <v>0</v>
      </c>
      <c r="V11" s="11">
        <f>SUMIFS('Investeeringu projektid'!$M$4:$M$96,'Investeeringu projektid'!$C$4:$C$96,"Pikaajaline",'Investeeringu projektid'!$A$4:$A$96,V9,'Investeeringu projektid'!$E$4:$E$96,"Arendaja (liitumistasudest)")</f>
        <v>0</v>
      </c>
      <c r="W11" s="9">
        <f>SUM(C11:V11)</f>
        <v>6168555.4000000004</v>
      </c>
    </row>
    <row r="14" spans="1:23" x14ac:dyDescent="0.35">
      <c r="A14" s="12" t="s">
        <v>191</v>
      </c>
    </row>
    <row r="15" spans="1:23" x14ac:dyDescent="0.35">
      <c r="B15" s="4"/>
      <c r="C15" s="4" t="s">
        <v>17</v>
      </c>
      <c r="D15" s="4" t="s">
        <v>33</v>
      </c>
      <c r="E15" s="4" t="s">
        <v>46</v>
      </c>
      <c r="F15" s="4" t="s">
        <v>64</v>
      </c>
      <c r="G15" s="4" t="s">
        <v>68</v>
      </c>
      <c r="H15" s="4" t="s">
        <v>70</v>
      </c>
      <c r="I15" s="4" t="s">
        <v>82</v>
      </c>
      <c r="J15" s="4" t="s">
        <v>87</v>
      </c>
      <c r="K15" s="4" t="s">
        <v>90</v>
      </c>
      <c r="L15" s="4" t="s">
        <v>76</v>
      </c>
      <c r="M15" s="4" t="s">
        <v>112</v>
      </c>
      <c r="N15" s="4" t="s">
        <v>116</v>
      </c>
      <c r="O15" s="4" t="s">
        <v>119</v>
      </c>
      <c r="P15" s="4" t="s">
        <v>122</v>
      </c>
      <c r="Q15" s="4" t="s">
        <v>125</v>
      </c>
      <c r="R15" s="4" t="s">
        <v>137</v>
      </c>
      <c r="S15" s="4" t="s">
        <v>140</v>
      </c>
      <c r="T15" s="4" t="s">
        <v>146</v>
      </c>
      <c r="U15" s="4" t="s">
        <v>149</v>
      </c>
      <c r="V15" s="4" t="s">
        <v>96</v>
      </c>
      <c r="W15" s="4" t="s">
        <v>109</v>
      </c>
    </row>
    <row r="16" spans="1:23" x14ac:dyDescent="0.35">
      <c r="B16" s="4" t="s">
        <v>107</v>
      </c>
      <c r="C16" s="9">
        <f>SUMIFS('Investeeringu projektid'!$M$4:$M$96,'Investeeringu projektid'!$C$4:$C$96,"Lühiajaline",'Investeeringu projektid'!$A$4:$A$96,C15,'Investeeringu projektid'!$E$4:$E$96,"Kinnistute omanikud")+SUMIFS('Investeeringu projektid'!$M$4:$M$96,'Investeeringu projektid'!$C$4:$C$96,"Lühiajaline",'Investeeringu projektid'!$A$4:$A$96,C15,'Investeeringu projektid'!$E$4:$E$96,"Maaparandussüsteemi omanik/ maaparandusühistu")</f>
        <v>0</v>
      </c>
      <c r="D16" s="9">
        <f>SUMIFS('Investeeringu projektid'!$M$4:$M$96,'Investeeringu projektid'!$C$4:$C$96,"Lühiajaline",'Investeeringu projektid'!$A$4:$A$96,D15,'Investeeringu projektid'!$E$4:$E$96,"Kinnistute omanikud")+SUMIFS('Investeeringu projektid'!$M$4:$M$96,'Investeeringu projektid'!$C$4:$C$96,"Lühiajaline",'Investeeringu projektid'!$A$4:$A$96,D15,'Investeeringu projektid'!$E$4:$E$96,"Maaparandussüsteemi omanik/ maaparandusühistu")</f>
        <v>700</v>
      </c>
      <c r="E16" s="9">
        <f>SUMIFS('Investeeringu projektid'!$M$4:$M$96,'Investeeringu projektid'!$C$4:$C$96,"Lühiajaline",'Investeeringu projektid'!$A$4:$A$96,E15,'Investeeringu projektid'!$E$4:$E$96,"Kinnistute omanikud")+SUMIFS('Investeeringu projektid'!$M$4:$M$96,'Investeeringu projektid'!$C$4:$C$96,"Lühiajaline",'Investeeringu projektid'!$A$4:$A$96,E15,'Investeeringu projektid'!$E$4:$E$96,"Maaparandussüsteemi omanik/ maaparandusühistu")</f>
        <v>472560</v>
      </c>
      <c r="F16" s="9">
        <f>SUMIFS('Investeeringu projektid'!$M$4:$M$96,'Investeeringu projektid'!$C$4:$C$96,"Lühiajaline",'Investeeringu projektid'!$A$4:$A$96,F15,'Investeeringu projektid'!$E$4:$E$96,"Kinnistute omanikud")+SUMIFS('Investeeringu projektid'!$M$4:$M$96,'Investeeringu projektid'!$C$4:$C$96,"Lühiajaline",'Investeeringu projektid'!$A$4:$A$96,F15,'Investeeringu projektid'!$E$4:$E$96,"Maaparandussüsteemi omanik/ maaparandusühistu")</f>
        <v>0</v>
      </c>
      <c r="G16" s="9">
        <f>SUMIFS('Investeeringu projektid'!$M$4:$M$96,'Investeeringu projektid'!$C$4:$C$96,"Lühiajaline",'Investeeringu projektid'!$A$4:$A$96,G15,'Investeeringu projektid'!$E$4:$E$96,"Kinnistute omanikud")+SUMIFS('Investeeringu projektid'!$M$4:$M$96,'Investeeringu projektid'!$C$4:$C$96,"Lühiajaline",'Investeeringu projektid'!$A$4:$A$96,G15,'Investeeringu projektid'!$E$4:$E$96,"Maaparandussüsteemi omanik/ maaparandusühistu")</f>
        <v>0</v>
      </c>
      <c r="H16" s="9">
        <f>SUMIFS('Investeeringu projektid'!$M$4:$M$96,'Investeeringu projektid'!$C$4:$C$96,"Lühiajaline",'Investeeringu projektid'!$A$4:$A$96,H15,'Investeeringu projektid'!$E$4:$E$96,"Kinnistute omanikud")+SUMIFS('Investeeringu projektid'!$M$4:$M$96,'Investeeringu projektid'!$C$4:$C$96,"Lühiajaline",'Investeeringu projektid'!$A$4:$A$96,H15,'Investeeringu projektid'!$E$4:$E$96,"Maaparandussüsteemi omanik/ maaparandusühistu")</f>
        <v>0</v>
      </c>
      <c r="I16" s="9">
        <f>SUMIFS('Investeeringu projektid'!$M$4:$M$96,'Investeeringu projektid'!$C$4:$C$96,"Lühiajaline",'Investeeringu projektid'!$A$4:$A$96,I15,'Investeeringu projektid'!$E$4:$E$96,"Kinnistute omanikud")+SUMIFS('Investeeringu projektid'!$M$4:$M$96,'Investeeringu projektid'!$C$4:$C$96,"Lühiajaline",'Investeeringu projektid'!$A$4:$A$96,I15,'Investeeringu projektid'!$E$4:$E$96,"Maaparandussüsteemi omanik/ maaparandusühistu")</f>
        <v>0</v>
      </c>
      <c r="J16" s="9">
        <f>SUMIFS('Investeeringu projektid'!$M$4:$M$96,'Investeeringu projektid'!$C$4:$C$96,"Lühiajaline",'Investeeringu projektid'!$A$4:$A$96,J15,'Investeeringu projektid'!$E$4:$E$96,"Kinnistute omanikud")+SUMIFS('Investeeringu projektid'!$M$4:$M$96,'Investeeringu projektid'!$C$4:$C$96,"Lühiajaline",'Investeeringu projektid'!$A$4:$A$96,J15,'Investeeringu projektid'!$E$4:$E$96,"Maaparandussüsteemi omanik/ maaparandusühistu")</f>
        <v>0</v>
      </c>
      <c r="K16" s="9">
        <f>SUMIFS('Investeeringu projektid'!$M$4:$M$96,'Investeeringu projektid'!$C$4:$C$96,"Lühiajaline",'Investeeringu projektid'!$A$4:$A$96,K15,'Investeeringu projektid'!$E$4:$E$96,"Kinnistute omanikud")+SUMIFS('Investeeringu projektid'!$M$4:$M$96,'Investeeringu projektid'!$C$4:$C$96,"Lühiajaline",'Investeeringu projektid'!$A$4:$A$96,K15,'Investeeringu projektid'!$E$4:$E$96,"Maaparandussüsteemi omanik/ maaparandusühistu")</f>
        <v>0</v>
      </c>
      <c r="L16" s="9">
        <f>SUMIFS('Investeeringu projektid'!$M$4:$M$96,'Investeeringu projektid'!$C$4:$C$96,"Lühiajaline",'Investeeringu projektid'!$A$4:$A$96,L15,'Investeeringu projektid'!$E$4:$E$96,"Kinnistute omanikud")+SUMIFS('Investeeringu projektid'!$M$4:$M$96,'Investeeringu projektid'!$C$4:$C$96,"Lühiajaline",'Investeeringu projektid'!$A$4:$A$96,L15,'Investeeringu projektid'!$E$4:$E$96,"Maaparandussüsteemi omanik/ maaparandusühistu")</f>
        <v>0</v>
      </c>
      <c r="M16" s="9">
        <f>SUMIFS('Investeeringu projektid'!$M$4:$M$96,'Investeeringu projektid'!$C$4:$C$96,"Lühiajaline",'Investeeringu projektid'!$A$4:$A$96,M15,'Investeeringu projektid'!$E$4:$E$96,"Kinnistute omanikud")+SUMIFS('Investeeringu projektid'!$M$4:$M$96,'Investeeringu projektid'!$C$4:$C$96,"Lühiajaline",'Investeeringu projektid'!$A$4:$A$96,M15,'Investeeringu projektid'!$E$4:$E$96,"Maaparandussüsteemi omanik/ maaparandusühistu")</f>
        <v>0</v>
      </c>
      <c r="N16" s="9">
        <f>SUMIFS('Investeeringu projektid'!$M$4:$M$96,'Investeeringu projektid'!$C$4:$C$96,"Lühiajaline",'Investeeringu projektid'!$A$4:$A$96,N15,'Investeeringu projektid'!$E$4:$E$96,"Kinnistute omanikud")+SUMIFS('Investeeringu projektid'!$M$4:$M$96,'Investeeringu projektid'!$C$4:$C$96,"Lühiajaline",'Investeeringu projektid'!$A$4:$A$96,N15,'Investeeringu projektid'!$E$4:$E$96,"Maaparandussüsteemi omanik/ maaparandusühistu")</f>
        <v>0</v>
      </c>
      <c r="O16" s="9">
        <f>SUMIFS('Investeeringu projektid'!$M$4:$M$96,'Investeeringu projektid'!$C$4:$C$96,"Lühiajaline",'Investeeringu projektid'!$A$4:$A$96,O15,'Investeeringu projektid'!$E$4:$E$96,"Kinnistute omanikud")+SUMIFS('Investeeringu projektid'!$M$4:$M$96,'Investeeringu projektid'!$C$4:$C$96,"Lühiajaline",'Investeeringu projektid'!$A$4:$A$96,O15,'Investeeringu projektid'!$E$4:$E$96,"Maaparandussüsteemi omanik/ maaparandusühistu")</f>
        <v>0</v>
      </c>
      <c r="P16" s="9">
        <f>SUMIFS('Investeeringu projektid'!$M$4:$M$96,'Investeeringu projektid'!$C$4:$C$96,"Lühiajaline",'Investeeringu projektid'!$A$4:$A$96,P15,'Investeeringu projektid'!$E$4:$E$96,"Kinnistute omanikud")+SUMIFS('Investeeringu projektid'!$M$4:$M$96,'Investeeringu projektid'!$C$4:$C$96,"Lühiajaline",'Investeeringu projektid'!$A$4:$A$96,P15,'Investeeringu projektid'!$E$4:$E$96,"Maaparandussüsteemi omanik/ maaparandusühistu")</f>
        <v>0</v>
      </c>
      <c r="Q16" s="9">
        <f>SUMIFS('Investeeringu projektid'!$M$4:$M$96,'Investeeringu projektid'!$C$4:$C$96,"Lühiajaline",'Investeeringu projektid'!$A$4:$A$96,Q15,'Investeeringu projektid'!$E$4:$E$96,"Kinnistute omanikud")+SUMIFS('Investeeringu projektid'!$M$4:$M$96,'Investeeringu projektid'!$C$4:$C$96,"Lühiajaline",'Investeeringu projektid'!$A$4:$A$96,Q15,'Investeeringu projektid'!$E$4:$E$96,"Maaparandussüsteemi omanik/ maaparandusühistu")</f>
        <v>0</v>
      </c>
      <c r="R16" s="9">
        <f>SUMIFS('Investeeringu projektid'!$M$4:$M$96,'Investeeringu projektid'!$C$4:$C$96,"Lühiajaline",'Investeeringu projektid'!$A$4:$A$96,R15,'Investeeringu projektid'!$E$4:$E$96,"Kinnistute omanikud")+SUMIFS('Investeeringu projektid'!$M$4:$M$96,'Investeeringu projektid'!$C$4:$C$96,"Lühiajaline",'Investeeringu projektid'!$A$4:$A$96,R15,'Investeeringu projektid'!$E$4:$E$96,"Maaparandussüsteemi omanik/ maaparandusühistu")</f>
        <v>0</v>
      </c>
      <c r="S16" s="9">
        <f>SUMIFS('Investeeringu projektid'!$M$4:$M$96,'Investeeringu projektid'!$C$4:$C$96,"Lühiajaline",'Investeeringu projektid'!$A$4:$A$96,S15,'Investeeringu projektid'!$E$4:$E$96,"Kinnistute omanikud")+SUMIFS('Investeeringu projektid'!$M$4:$M$96,'Investeeringu projektid'!$C$4:$C$96,"Lühiajaline",'Investeeringu projektid'!$A$4:$A$96,S15,'Investeeringu projektid'!$E$4:$E$96,"Maaparandussüsteemi omanik/ maaparandusühistu")</f>
        <v>0</v>
      </c>
      <c r="T16" s="9">
        <f>SUMIFS('Investeeringu projektid'!$M$4:$M$96,'Investeeringu projektid'!$C$4:$C$96,"Lühiajaline",'Investeeringu projektid'!$A$4:$A$96,T15,'Investeeringu projektid'!$E$4:$E$96,"Kinnistute omanikud")+SUMIFS('Investeeringu projektid'!$M$4:$M$96,'Investeeringu projektid'!$C$4:$C$96,"Lühiajaline",'Investeeringu projektid'!$A$4:$A$96,T15,'Investeeringu projektid'!$E$4:$E$96,"Maaparandussüsteemi omanik/ maaparandusühistu")</f>
        <v>0</v>
      </c>
      <c r="U16" s="9">
        <f>SUMIFS('Investeeringu projektid'!$M$4:$M$96,'Investeeringu projektid'!$C$4:$C$96,"Lühiajaline",'Investeeringu projektid'!$A$4:$A$96,U15,'Investeeringu projektid'!$E$4:$E$96,"Kinnistute omanikud")+SUMIFS('Investeeringu projektid'!$M$4:$M$96,'Investeeringu projektid'!$C$4:$C$96,"Lühiajaline",'Investeeringu projektid'!$A$4:$A$96,U15,'Investeeringu projektid'!$E$4:$E$96,"Maaparandussüsteemi omanik/ maaparandusühistu")</f>
        <v>0</v>
      </c>
      <c r="V16" s="9">
        <f>SUMIFS('Investeeringu projektid'!$M$4:$M$96,'Investeeringu projektid'!$C$4:$C$96,"Lühiajaline",'Investeeringu projektid'!$A$4:$A$96,V15,'Investeeringu projektid'!$E$4:$E$96,"Kinnistute omanikud")+SUMIFS('Investeeringu projektid'!$M$4:$M$96,'Investeeringu projektid'!$C$4:$C$96,"Lühiajaline",'Investeeringu projektid'!$A$4:$A$96,V15,'Investeeringu projektid'!$E$4:$E$96,"Maaparandussüsteemi omanik/ maaparandusühistu")</f>
        <v>0</v>
      </c>
      <c r="W16" s="9">
        <f>SUM(C16:V16)</f>
        <v>473260</v>
      </c>
    </row>
    <row r="17" spans="2:23" x14ac:dyDescent="0.35">
      <c r="B17" s="4" t="s">
        <v>106</v>
      </c>
      <c r="C17" s="9">
        <f>SUMIFS('Investeeringu projektid'!$M$4:$M$96,'Investeeringu projektid'!$C$4:$C$96,"Pikaajaline",'Investeeringu projektid'!$A$4:$A$96,C15,'Investeeringu projektid'!$E$4:$E$96,"Kinnistute omanikud")+SUMIFS('Investeeringu projektid'!$M$4:$M$96,'Investeeringu projektid'!$C$4:$C$96,"Pikaajaline",'Investeeringu projektid'!$A$4:$A$96,C15,'Investeeringu projektid'!$E$4:$E$96,"Maaparandussüsteemi omanik/ maaparandusühistu")</f>
        <v>0</v>
      </c>
      <c r="D17" s="9">
        <f>SUMIFS('Investeeringu projektid'!$M$4:$M$96,'Investeeringu projektid'!$C$4:$C$96,"Pikaajaline",'Investeeringu projektid'!$A$4:$A$96,D15,'Investeeringu projektid'!$E$4:$E$96,"Kinnistute omanikud")+SUMIFS('Investeeringu projektid'!$M$4:$M$96,'Investeeringu projektid'!$C$4:$C$96,"Pikaajaline",'Investeeringu projektid'!$A$4:$A$96,D15,'Investeeringu projektid'!$E$4:$E$96,"Maaparandussüsteemi omanik/ maaparandusühistu")</f>
        <v>4130</v>
      </c>
      <c r="E17" s="9">
        <f>SUMIFS('Investeeringu projektid'!$M$4:$M$96,'Investeeringu projektid'!$C$4:$C$96,"Pikaajaline",'Investeeringu projektid'!$A$4:$A$96,E15,'Investeeringu projektid'!$E$4:$E$96,"Kinnistute omanikud")+SUMIFS('Investeeringu projektid'!$M$4:$M$96,'Investeeringu projektid'!$C$4:$C$96,"Pikaajaline",'Investeeringu projektid'!$A$4:$A$96,E15,'Investeeringu projektid'!$E$4:$E$96,"Maaparandussüsteemi omanik/ maaparandusühistu")</f>
        <v>0</v>
      </c>
      <c r="F17" s="9">
        <f>SUMIFS('Investeeringu projektid'!$M$4:$M$96,'Investeeringu projektid'!$C$4:$C$96,"Pikaajaline",'Investeeringu projektid'!$A$4:$A$96,F15,'Investeeringu projektid'!$E$4:$E$96,"Kinnistute omanikud")+SUMIFS('Investeeringu projektid'!$M$4:$M$96,'Investeeringu projektid'!$C$4:$C$96,"Pikaajaline",'Investeeringu projektid'!$A$4:$A$96,F15,'Investeeringu projektid'!$E$4:$E$96,"Maaparandussüsteemi omanik/ maaparandusühistu")</f>
        <v>0</v>
      </c>
      <c r="G17" s="9">
        <f>SUMIFS('Investeeringu projektid'!$M$4:$M$96,'Investeeringu projektid'!$C$4:$C$96,"Pikaajaline",'Investeeringu projektid'!$A$4:$A$96,G15,'Investeeringu projektid'!$E$4:$E$96,"Kinnistute omanikud")+SUMIFS('Investeeringu projektid'!$M$4:$M$96,'Investeeringu projektid'!$C$4:$C$96,"Pikaajaline",'Investeeringu projektid'!$A$4:$A$96,G15,'Investeeringu projektid'!$E$4:$E$96,"Maaparandussüsteemi omanik/ maaparandusühistu")</f>
        <v>0</v>
      </c>
      <c r="H17" s="9">
        <f>SUMIFS('Investeeringu projektid'!$M$4:$M$96,'Investeeringu projektid'!$C$4:$C$96,"Pikaajaline",'Investeeringu projektid'!$A$4:$A$96,H15,'Investeeringu projektid'!$E$4:$E$96,"Kinnistute omanikud")+SUMIFS('Investeeringu projektid'!$M$4:$M$96,'Investeeringu projektid'!$C$4:$C$96,"Pikaajaline",'Investeeringu projektid'!$A$4:$A$96,H15,'Investeeringu projektid'!$E$4:$E$96,"Maaparandussüsteemi omanik/ maaparandusühistu")</f>
        <v>0</v>
      </c>
      <c r="I17" s="9">
        <f>SUMIFS('Investeeringu projektid'!$M$4:$M$96,'Investeeringu projektid'!$C$4:$C$96,"Pikaajaline",'Investeeringu projektid'!$A$4:$A$96,I15,'Investeeringu projektid'!$E$4:$E$96,"Kinnistute omanikud")+SUMIFS('Investeeringu projektid'!$M$4:$M$96,'Investeeringu projektid'!$C$4:$C$96,"Pikaajaline",'Investeeringu projektid'!$A$4:$A$96,I15,'Investeeringu projektid'!$E$4:$E$96,"Maaparandussüsteemi omanik/ maaparandusühistu")</f>
        <v>0</v>
      </c>
      <c r="J17" s="9">
        <f>SUMIFS('Investeeringu projektid'!$M$4:$M$96,'Investeeringu projektid'!$C$4:$C$96,"Pikaajaline",'Investeeringu projektid'!$A$4:$A$96,J15,'Investeeringu projektid'!$E$4:$E$96,"Kinnistute omanikud")+SUMIFS('Investeeringu projektid'!$M$4:$M$96,'Investeeringu projektid'!$C$4:$C$96,"Pikaajaline",'Investeeringu projektid'!$A$4:$A$96,J15,'Investeeringu projektid'!$E$4:$E$96,"Maaparandussüsteemi omanik/ maaparandusühistu")</f>
        <v>0</v>
      </c>
      <c r="K17" s="9">
        <f>SUMIFS('Investeeringu projektid'!$M$4:$M$96,'Investeeringu projektid'!$C$4:$C$96,"Pikaajaline",'Investeeringu projektid'!$A$4:$A$96,K15,'Investeeringu projektid'!$E$4:$E$96,"Kinnistute omanikud")+SUMIFS('Investeeringu projektid'!$M$4:$M$96,'Investeeringu projektid'!$C$4:$C$96,"Pikaajaline",'Investeeringu projektid'!$A$4:$A$96,K15,'Investeeringu projektid'!$E$4:$E$96,"Maaparandussüsteemi omanik/ maaparandusühistu")</f>
        <v>0</v>
      </c>
      <c r="L17" s="9">
        <f>SUMIFS('Investeeringu projektid'!$M$4:$M$96,'Investeeringu projektid'!$C$4:$C$96,"Pikaajaline",'Investeeringu projektid'!$A$4:$A$96,L15,'Investeeringu projektid'!$E$4:$E$96,"Kinnistute omanikud")+SUMIFS('Investeeringu projektid'!$M$4:$M$96,'Investeeringu projektid'!$C$4:$C$96,"Pikaajaline",'Investeeringu projektid'!$A$4:$A$96,L15,'Investeeringu projektid'!$E$4:$E$96,"Maaparandussüsteemi omanik/ maaparandusühistu")</f>
        <v>0</v>
      </c>
      <c r="M17" s="9">
        <f>SUMIFS('Investeeringu projektid'!$M$4:$M$96,'Investeeringu projektid'!$C$4:$C$96,"Pikaajaline",'Investeeringu projektid'!$A$4:$A$96,M15,'Investeeringu projektid'!$E$4:$E$96,"Kinnistute omanikud")+SUMIFS('Investeeringu projektid'!$M$4:$M$96,'Investeeringu projektid'!$C$4:$C$96,"Pikaajaline",'Investeeringu projektid'!$A$4:$A$96,M15,'Investeeringu projektid'!$E$4:$E$96,"Maaparandussüsteemi omanik/ maaparandusühistu")</f>
        <v>1600</v>
      </c>
      <c r="N17" s="9">
        <f>SUMIFS('Investeeringu projektid'!$M$4:$M$96,'Investeeringu projektid'!$C$4:$C$96,"Pikaajaline",'Investeeringu projektid'!$A$4:$A$96,N15,'Investeeringu projektid'!$E$4:$E$96,"Kinnistute omanikud")+SUMIFS('Investeeringu projektid'!$M$4:$M$96,'Investeeringu projektid'!$C$4:$C$96,"Pikaajaline",'Investeeringu projektid'!$A$4:$A$96,N15,'Investeeringu projektid'!$E$4:$E$96,"Maaparandussüsteemi omanik/ maaparandusühistu")</f>
        <v>4130</v>
      </c>
      <c r="O17" s="9">
        <f>SUMIFS('Investeeringu projektid'!$M$4:$M$96,'Investeeringu projektid'!$C$4:$C$96,"Pikaajaline",'Investeeringu projektid'!$A$4:$A$96,O15,'Investeeringu projektid'!$E$4:$E$96,"Kinnistute omanikud")+SUMIFS('Investeeringu projektid'!$M$4:$M$96,'Investeeringu projektid'!$C$4:$C$96,"Pikaajaline",'Investeeringu projektid'!$A$4:$A$96,O15,'Investeeringu projektid'!$E$4:$E$96,"Maaparandussüsteemi omanik/ maaparandusühistu")</f>
        <v>0</v>
      </c>
      <c r="P17" s="9">
        <f>SUMIFS('Investeeringu projektid'!$M$4:$M$96,'Investeeringu projektid'!$C$4:$C$96,"Pikaajaline",'Investeeringu projektid'!$A$4:$A$96,P15,'Investeeringu projektid'!$E$4:$E$96,"Kinnistute omanikud")+SUMIFS('Investeeringu projektid'!$M$4:$M$96,'Investeeringu projektid'!$C$4:$C$96,"Pikaajaline",'Investeeringu projektid'!$A$4:$A$96,P15,'Investeeringu projektid'!$E$4:$E$96,"Maaparandussüsteemi omanik/ maaparandusühistu")</f>
        <v>4130</v>
      </c>
      <c r="Q17" s="9">
        <f>SUMIFS('Investeeringu projektid'!$M$4:$M$96,'Investeeringu projektid'!$C$4:$C$96,"Pikaajaline",'Investeeringu projektid'!$A$4:$A$96,Q15,'Investeeringu projektid'!$E$4:$E$96,"Kinnistute omanikud")+SUMIFS('Investeeringu projektid'!$M$4:$M$96,'Investeeringu projektid'!$C$4:$C$96,"Pikaajaline",'Investeeringu projektid'!$A$4:$A$96,Q15,'Investeeringu projektid'!$E$4:$E$96,"Maaparandussüsteemi omanik/ maaparandusühistu")</f>
        <v>5030</v>
      </c>
      <c r="R17" s="9">
        <f>SUMIFS('Investeeringu projektid'!$M$4:$M$96,'Investeeringu projektid'!$C$4:$C$96,"Pikaajaline",'Investeeringu projektid'!$A$4:$A$96,R15,'Investeeringu projektid'!$E$4:$E$96,"Kinnistute omanikud")+SUMIFS('Investeeringu projektid'!$M$4:$M$96,'Investeeringu projektid'!$C$4:$C$96,"Pikaajaline",'Investeeringu projektid'!$A$4:$A$96,R15,'Investeeringu projektid'!$E$4:$E$96,"Maaparandussüsteemi omanik/ maaparandusühistu")</f>
        <v>900</v>
      </c>
      <c r="S17" s="9">
        <f>SUMIFS('Investeeringu projektid'!$M$4:$M$96,'Investeeringu projektid'!$C$4:$C$96,"Pikaajaline",'Investeeringu projektid'!$A$4:$A$96,S15,'Investeeringu projektid'!$E$4:$E$96,"Kinnistute omanikud")+SUMIFS('Investeeringu projektid'!$M$4:$M$96,'Investeeringu projektid'!$C$4:$C$96,"Pikaajaline",'Investeeringu projektid'!$A$4:$A$96,S15,'Investeeringu projektid'!$E$4:$E$96,"Maaparandussüsteemi omanik/ maaparandusühistu")</f>
        <v>900</v>
      </c>
      <c r="T17" s="9">
        <f>SUMIFS('Investeeringu projektid'!$M$4:$M$96,'Investeeringu projektid'!$C$4:$C$96,"Pikaajaline",'Investeeringu projektid'!$A$4:$A$96,T15,'Investeeringu projektid'!$E$4:$E$96,"Kinnistute omanikud")+SUMIFS('Investeeringu projektid'!$M$4:$M$96,'Investeeringu projektid'!$C$4:$C$96,"Pikaajaline",'Investeeringu projektid'!$A$4:$A$96,T15,'Investeeringu projektid'!$E$4:$E$96,"Maaparandussüsteemi omanik/ maaparandusühistu")</f>
        <v>4130</v>
      </c>
      <c r="U17" s="9">
        <f>SUMIFS('Investeeringu projektid'!$M$4:$M$96,'Investeeringu projektid'!$C$4:$C$96,"Pikaajaline",'Investeeringu projektid'!$A$4:$A$96,U15,'Investeeringu projektid'!$E$4:$E$96,"Kinnistute omanikud")+SUMIFS('Investeeringu projektid'!$M$4:$M$96,'Investeeringu projektid'!$C$4:$C$96,"Pikaajaline",'Investeeringu projektid'!$A$4:$A$96,U15,'Investeeringu projektid'!$E$4:$E$96,"Maaparandussüsteemi omanik/ maaparandusühistu")</f>
        <v>900</v>
      </c>
      <c r="V17" s="9">
        <f>SUMIFS('Investeeringu projektid'!$M$4:$M$96,'Investeeringu projektid'!$C$4:$C$96,"Pikaajaline",'Investeeringu projektid'!$A$4:$A$96,V15,'Investeeringu projektid'!$E$4:$E$96,"Kinnistute omanikud")+SUMIFS('Investeeringu projektid'!$M$4:$M$96,'Investeeringu projektid'!$C$4:$C$96,"Pikaajaline",'Investeeringu projektid'!$A$4:$A$96,V15,'Investeeringu projektid'!$E$4:$E$96,"Maaparandussüsteemi omanik/ maaparandusühistu")</f>
        <v>0</v>
      </c>
      <c r="W17" s="9">
        <f>SUM(C17:V17)</f>
        <v>25850</v>
      </c>
    </row>
    <row r="20" spans="2:23" x14ac:dyDescent="0.35">
      <c r="W2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4</vt:i4>
      </vt:variant>
    </vt:vector>
  </HeadingPairs>
  <TitlesOfParts>
    <vt:vector size="4" baseType="lpstr">
      <vt:lpstr>Ühikhinnad</vt:lpstr>
      <vt:lpstr>Koondtabel</vt:lpstr>
      <vt:lpstr>Investeeringu projektid</vt:lpstr>
      <vt:lpstr>Koond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 Kill</dc:creator>
  <cp:lastModifiedBy>Aivo Paabo</cp:lastModifiedBy>
  <cp:lastPrinted>2024-12-16T10:19:49Z</cp:lastPrinted>
  <dcterms:created xsi:type="dcterms:W3CDTF">2024-06-10T07:20:36Z</dcterms:created>
  <dcterms:modified xsi:type="dcterms:W3CDTF">2025-01-02T14:48:19Z</dcterms:modified>
</cp:coreProperties>
</file>